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22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LB/Principles of Finance/2025C/"/>
    </mc:Choice>
  </mc:AlternateContent>
  <xr:revisionPtr revIDLastSave="459" documentId="13_ncr:1_{597316DF-A655-C74C-A849-16DA9B92B8D7}" xr6:coauthVersionLast="47" xr6:coauthVersionMax="47" xr10:uidLastSave="{BF6E4F2A-ED8D-F64A-96C4-E49F616791F6}"/>
  <bookViews>
    <workbookView xWindow="0" yWindow="620" windowWidth="38080" windowHeight="21620" activeTab="1" xr2:uid="{81B576EB-13B6-6B4B-A090-1F432984074C}"/>
  </bookViews>
  <sheets>
    <sheet name="שיעור 1" sheetId="1" r:id="rId1"/>
    <sheet name="שיעור 2" sheetId="2" r:id="rId2"/>
    <sheet name="שיעור 3" sheetId="3" r:id="rId3"/>
    <sheet name="שיעור 4" sheetId="4" r:id="rId4"/>
    <sheet name="שיעור 5" sheetId="5" r:id="rId5"/>
    <sheet name="שיעור 6" sheetId="6" r:id="rId6"/>
    <sheet name="שיעור 7 ופתרון מטלה 1" sheetId="7" r:id="rId7"/>
    <sheet name="שיעור 8" sheetId="8" r:id="rId8"/>
    <sheet name="שיעור 9" sheetId="9" r:id="rId9"/>
    <sheet name="שיעור 10" sheetId="10" r:id="rId10"/>
    <sheet name="שיעור 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94" i="2" l="1"/>
  <c r="D296" i="2"/>
  <c r="E296" i="2"/>
  <c r="D292" i="2"/>
  <c r="E292" i="2"/>
  <c r="D278" i="2"/>
  <c r="E278" i="2"/>
  <c r="F278" i="2"/>
  <c r="F282" i="2" s="1"/>
  <c r="E280" i="2" s="1"/>
  <c r="F214" i="2"/>
  <c r="E212" i="2" s="1"/>
  <c r="E214" i="2" s="1"/>
  <c r="D212" i="2" s="1"/>
  <c r="D214" i="2" s="1"/>
  <c r="C237" i="1"/>
  <c r="C234" i="1"/>
  <c r="A241" i="1"/>
  <c r="C241" i="1"/>
  <c r="C235" i="1"/>
  <c r="B57" i="1"/>
  <c r="F189" i="11"/>
  <c r="I178" i="11"/>
  <c r="G176" i="11"/>
  <c r="G164" i="11"/>
  <c r="F153" i="11"/>
  <c r="F151" i="11"/>
  <c r="F150" i="11"/>
  <c r="F125" i="11"/>
  <c r="E120" i="11"/>
  <c r="E119" i="11" s="1"/>
  <c r="C88" i="11"/>
  <c r="C89" i="11"/>
  <c r="E89" i="11"/>
  <c r="D89" i="11" s="1"/>
  <c r="E88" i="11"/>
  <c r="F89" i="11"/>
  <c r="F88" i="11"/>
  <c r="H201" i="10"/>
  <c r="H200" i="10"/>
  <c r="H162" i="10"/>
  <c r="H161" i="10"/>
  <c r="H83" i="10"/>
  <c r="H85" i="10" s="1"/>
  <c r="H105" i="10"/>
  <c r="H107" i="10" s="1"/>
  <c r="B93" i="10"/>
  <c r="B63" i="10"/>
  <c r="H53" i="10"/>
  <c r="H55" i="10" s="1"/>
  <c r="D168" i="9"/>
  <c r="G185" i="9"/>
  <c r="D178" i="9"/>
  <c r="G178" i="9" s="1"/>
  <c r="D169" i="9"/>
  <c r="A178" i="9"/>
  <c r="A169" i="9"/>
  <c r="A168" i="9"/>
  <c r="D167" i="9"/>
  <c r="A167" i="9"/>
  <c r="D170" i="9"/>
  <c r="G170" i="9" s="1"/>
  <c r="G136" i="9"/>
  <c r="G135" i="9"/>
  <c r="D135" i="9"/>
  <c r="D136" i="9" s="1"/>
  <c r="B117" i="9"/>
  <c r="B116" i="9"/>
  <c r="D101" i="9"/>
  <c r="F91" i="9"/>
  <c r="E77" i="9"/>
  <c r="G33" i="9"/>
  <c r="G51" i="9"/>
  <c r="C33" i="9"/>
  <c r="D34" i="9"/>
  <c r="C35" i="9" s="1"/>
  <c r="D33" i="9"/>
  <c r="C34" i="9" s="1"/>
  <c r="B33" i="9"/>
  <c r="B34" i="9" s="1"/>
  <c r="B35" i="9" s="1"/>
  <c r="B36" i="9" s="1"/>
  <c r="B37" i="9" s="1"/>
  <c r="E212" i="7"/>
  <c r="D210" i="7" s="1"/>
  <c r="C220" i="7"/>
  <c r="C219" i="7"/>
  <c r="D220" i="7"/>
  <c r="E223" i="7"/>
  <c r="D221" i="7" s="1"/>
  <c r="C188" i="7"/>
  <c r="B186" i="7" s="1"/>
  <c r="B196" i="7"/>
  <c r="B184" i="7"/>
  <c r="B180" i="7"/>
  <c r="C166" i="7"/>
  <c r="D170" i="7"/>
  <c r="C168" i="7" s="1"/>
  <c r="B157" i="7"/>
  <c r="B161" i="7" s="1"/>
  <c r="B149" i="7"/>
  <c r="B153" i="7" s="1"/>
  <c r="B145" i="7"/>
  <c r="F165" i="8"/>
  <c r="F164" i="8"/>
  <c r="F163" i="8"/>
  <c r="F162" i="8"/>
  <c r="G143" i="8"/>
  <c r="G142" i="8"/>
  <c r="G141" i="8"/>
  <c r="G140" i="8"/>
  <c r="G133" i="8"/>
  <c r="G132" i="8"/>
  <c r="G131" i="8"/>
  <c r="G130" i="8"/>
  <c r="H118" i="8"/>
  <c r="H117" i="8"/>
  <c r="H116" i="8"/>
  <c r="H115" i="8"/>
  <c r="F63" i="8"/>
  <c r="F65" i="8" s="1"/>
  <c r="F67" i="8" s="1"/>
  <c r="C338" i="7"/>
  <c r="C341" i="7" s="1"/>
  <c r="G342" i="7" s="1"/>
  <c r="B333" i="7"/>
  <c r="G338" i="7"/>
  <c r="D293" i="7"/>
  <c r="D295" i="7" s="1"/>
  <c r="C301" i="7" s="1"/>
  <c r="B295" i="7"/>
  <c r="C302" i="7" s="1"/>
  <c r="F295" i="7"/>
  <c r="C300" i="7" s="1"/>
  <c r="E257" i="7"/>
  <c r="E258" i="7" s="1"/>
  <c r="C257" i="7"/>
  <c r="C258" i="7" s="1"/>
  <c r="B132" i="7"/>
  <c r="F128" i="7"/>
  <c r="E111" i="7"/>
  <c r="F111" i="7"/>
  <c r="F110" i="7"/>
  <c r="B92" i="7"/>
  <c r="C92" i="7"/>
  <c r="C93" i="7"/>
  <c r="B93" i="7" s="1"/>
  <c r="D95" i="7"/>
  <c r="C95" i="7" s="1"/>
  <c r="B95" i="7" s="1"/>
  <c r="E93" i="7"/>
  <c r="D93" i="7" s="1"/>
  <c r="F94" i="7"/>
  <c r="F96" i="7" s="1"/>
  <c r="E94" i="7" s="1"/>
  <c r="E60" i="7"/>
  <c r="F60" i="7"/>
  <c r="F61" i="7"/>
  <c r="E63" i="7"/>
  <c r="B38" i="7"/>
  <c r="E38" i="7"/>
  <c r="D38" i="7" s="1"/>
  <c r="F41" i="7"/>
  <c r="E39" i="7" s="1"/>
  <c r="C19" i="7"/>
  <c r="D19" i="7"/>
  <c r="F23" i="7"/>
  <c r="E21" i="7" s="1"/>
  <c r="E23" i="7" s="1"/>
  <c r="D21" i="7" s="1"/>
  <c r="F239" i="6"/>
  <c r="B239" i="6"/>
  <c r="B233" i="6"/>
  <c r="F233" i="6"/>
  <c r="C213" i="6"/>
  <c r="E206" i="6"/>
  <c r="E207" i="6"/>
  <c r="D184" i="6"/>
  <c r="E169" i="6"/>
  <c r="D152" i="6"/>
  <c r="F145" i="6"/>
  <c r="F137" i="6"/>
  <c r="E110" i="6"/>
  <c r="E113" i="6" s="1"/>
  <c r="D103" i="6"/>
  <c r="E78" i="6"/>
  <c r="E81" i="6"/>
  <c r="E58" i="6"/>
  <c r="E61" i="6" s="1"/>
  <c r="F41" i="6"/>
  <c r="F43" i="6" s="1"/>
  <c r="F42" i="6"/>
  <c r="E35" i="6"/>
  <c r="E175" i="5"/>
  <c r="D177" i="5" s="1"/>
  <c r="D175" i="5" s="1"/>
  <c r="C177" i="5" s="1"/>
  <c r="C175" i="5" s="1"/>
  <c r="E137" i="5"/>
  <c r="D139" i="5" s="1"/>
  <c r="D137" i="5" s="1"/>
  <c r="C139" i="5" s="1"/>
  <c r="C137" i="5" s="1"/>
  <c r="G106" i="5"/>
  <c r="G107" i="5" s="1"/>
  <c r="F109" i="5" s="1"/>
  <c r="F107" i="5" s="1"/>
  <c r="E109" i="5" s="1"/>
  <c r="E107" i="5" s="1"/>
  <c r="D109" i="5" s="1"/>
  <c r="D107" i="5" s="1"/>
  <c r="C109" i="5" s="1"/>
  <c r="C107" i="5" s="1"/>
  <c r="C96" i="5"/>
  <c r="E96" i="5"/>
  <c r="F96" i="5"/>
  <c r="A96" i="5"/>
  <c r="F71" i="5"/>
  <c r="E73" i="5" s="1"/>
  <c r="E71" i="5" s="1"/>
  <c r="E57" i="5"/>
  <c r="B57" i="5"/>
  <c r="E41" i="5"/>
  <c r="C186" i="4"/>
  <c r="C185" i="4"/>
  <c r="C184" i="4"/>
  <c r="D161" i="4"/>
  <c r="D160" i="4"/>
  <c r="D146" i="4"/>
  <c r="D144" i="4"/>
  <c r="G149" i="4"/>
  <c r="G146" i="4"/>
  <c r="G153" i="4"/>
  <c r="D148" i="4"/>
  <c r="D145" i="4"/>
  <c r="E120" i="4"/>
  <c r="E121" i="4" s="1"/>
  <c r="E106" i="4"/>
  <c r="E105" i="4"/>
  <c r="E109" i="4" s="1"/>
  <c r="E93" i="4"/>
  <c r="E92" i="4"/>
  <c r="E77" i="4"/>
  <c r="E78" i="4" s="1"/>
  <c r="E61" i="4"/>
  <c r="E62" i="4" s="1"/>
  <c r="E47" i="4"/>
  <c r="E32" i="4"/>
  <c r="E129" i="3"/>
  <c r="F131" i="3"/>
  <c r="E131" i="3"/>
  <c r="E99" i="3"/>
  <c r="F100" i="3"/>
  <c r="E98" i="3" s="1"/>
  <c r="D81" i="3"/>
  <c r="D62" i="3"/>
  <c r="C62" i="3" s="1"/>
  <c r="F63" i="3"/>
  <c r="E61" i="3" s="1"/>
  <c r="E63" i="3" s="1"/>
  <c r="D61" i="3" s="1"/>
  <c r="F36" i="3"/>
  <c r="E34" i="3" s="1"/>
  <c r="E36" i="3" s="1"/>
  <c r="D21" i="3"/>
  <c r="C21" i="3"/>
  <c r="D441" i="2"/>
  <c r="C464" i="2"/>
  <c r="D464" i="2"/>
  <c r="E464" i="2"/>
  <c r="E468" i="2" s="1"/>
  <c r="D466" i="2" s="1"/>
  <c r="C441" i="2"/>
  <c r="E445" i="2"/>
  <c r="D443" i="2" s="1"/>
  <c r="B422" i="2"/>
  <c r="C422" i="2"/>
  <c r="C426" i="2" s="1"/>
  <c r="B424" i="2" s="1"/>
  <c r="B406" i="2"/>
  <c r="C406" i="2"/>
  <c r="C410" i="2" s="1"/>
  <c r="B408" i="2" s="1"/>
  <c r="C391" i="2"/>
  <c r="C395" i="2" s="1"/>
  <c r="B393" i="2" s="1"/>
  <c r="B395" i="2" s="1"/>
  <c r="C377" i="2"/>
  <c r="C381" i="2"/>
  <c r="B379" i="2" s="1"/>
  <c r="B381" i="2" s="1"/>
  <c r="C362" i="2"/>
  <c r="C366" i="2" s="1"/>
  <c r="B364" i="2" s="1"/>
  <c r="B366" i="2" s="1"/>
  <c r="C351" i="2"/>
  <c r="B349" i="2" s="1"/>
  <c r="B351" i="2" s="1"/>
  <c r="C333" i="2"/>
  <c r="C337" i="2" s="1"/>
  <c r="C323" i="2"/>
  <c r="E282" i="2" l="1"/>
  <c r="D280" i="2" s="1"/>
  <c r="D282" i="2" s="1"/>
  <c r="F92" i="11"/>
  <c r="E90" i="11" s="1"/>
  <c r="E92" i="11" s="1"/>
  <c r="D90" i="11" s="1"/>
  <c r="D92" i="11" s="1"/>
  <c r="A170" i="9"/>
  <c r="G138" i="9"/>
  <c r="D138" i="9" s="1"/>
  <c r="D35" i="9"/>
  <c r="F33" i="9"/>
  <c r="H33" i="9" s="1"/>
  <c r="D212" i="7"/>
  <c r="C210" i="7" s="1"/>
  <c r="C212" i="7" s="1"/>
  <c r="D223" i="7"/>
  <c r="C221" i="7" s="1"/>
  <c r="C223" i="7" s="1"/>
  <c r="C170" i="7"/>
  <c r="B168" i="7" s="1"/>
  <c r="B170" i="7" s="1"/>
  <c r="B188" i="7"/>
  <c r="G340" i="7"/>
  <c r="F114" i="7"/>
  <c r="E112" i="7" s="1"/>
  <c r="E114" i="7" s="1"/>
  <c r="D112" i="7" s="1"/>
  <c r="D114" i="7" s="1"/>
  <c r="F64" i="7"/>
  <c r="E62" i="7" s="1"/>
  <c r="E96" i="7"/>
  <c r="E61" i="7"/>
  <c r="E41" i="7"/>
  <c r="D39" i="7" s="1"/>
  <c r="D41" i="7" s="1"/>
  <c r="C39" i="7" s="1"/>
  <c r="C41" i="7" s="1"/>
  <c r="B39" i="7" s="1"/>
  <c r="B41" i="7" s="1"/>
  <c r="A46" i="7"/>
  <c r="E47" i="7"/>
  <c r="D23" i="7"/>
  <c r="C21" i="7" s="1"/>
  <c r="C23" i="7" s="1"/>
  <c r="F25" i="7" s="1"/>
  <c r="E94" i="4"/>
  <c r="E100" i="3"/>
  <c r="D98" i="3" s="1"/>
  <c r="D100" i="3" s="1"/>
  <c r="C98" i="3" s="1"/>
  <c r="C100" i="3" s="1"/>
  <c r="D63" i="3"/>
  <c r="C61" i="3" s="1"/>
  <c r="C63" i="3" s="1"/>
  <c r="B410" i="2"/>
  <c r="D468" i="2"/>
  <c r="C466" i="2" s="1"/>
  <c r="C468" i="2" s="1"/>
  <c r="D445" i="2"/>
  <c r="C443" i="2" s="1"/>
  <c r="C445" i="2" s="1"/>
  <c r="B426" i="2"/>
  <c r="C90" i="11" l="1"/>
  <c r="C92" i="11" s="1"/>
  <c r="D144" i="9"/>
  <c r="G34" i="9"/>
  <c r="F34" i="9" s="1"/>
  <c r="H34" i="9" s="1"/>
  <c r="D36" i="9"/>
  <c r="C36" i="9"/>
  <c r="G68" i="7"/>
  <c r="G70" i="7" s="1"/>
  <c r="D94" i="7"/>
  <c r="D96" i="7" s="1"/>
  <c r="E64" i="7"/>
  <c r="C252" i="2"/>
  <c r="D252" i="2"/>
  <c r="E252" i="2"/>
  <c r="E256" i="2" s="1"/>
  <c r="D254" i="2" s="1"/>
  <c r="C233" i="2"/>
  <c r="D233" i="2"/>
  <c r="E237" i="2"/>
  <c r="D235" i="2" s="1"/>
  <c r="D237" i="2" s="1"/>
  <c r="C235" i="2" s="1"/>
  <c r="F194" i="2"/>
  <c r="E192" i="2" s="1"/>
  <c r="E194" i="2" s="1"/>
  <c r="D192" i="2" s="1"/>
  <c r="D194" i="2" s="1"/>
  <c r="D158" i="2"/>
  <c r="D138" i="2"/>
  <c r="D142" i="2" s="1"/>
  <c r="D126" i="2"/>
  <c r="D106" i="2"/>
  <c r="D110" i="2" s="1"/>
  <c r="D87" i="2"/>
  <c r="D71" i="2"/>
  <c r="D55" i="2"/>
  <c r="B221" i="1"/>
  <c r="E209" i="1"/>
  <c r="E208" i="1" s="1"/>
  <c r="A193" i="1"/>
  <c r="C193" i="1"/>
  <c r="E178" i="1"/>
  <c r="D167" i="1"/>
  <c r="D155" i="1"/>
  <c r="E144" i="1"/>
  <c r="D138" i="1"/>
  <c r="F120" i="1"/>
  <c r="F123" i="1" s="1"/>
  <c r="F100" i="1"/>
  <c r="F103" i="1" s="1"/>
  <c r="F89" i="1"/>
  <c r="F92" i="1" s="1"/>
  <c r="B71" i="1"/>
  <c r="G35" i="9" l="1"/>
  <c r="F35" i="9" s="1"/>
  <c r="H35" i="9" s="1"/>
  <c r="G36" i="9" s="1"/>
  <c r="F36" i="9" s="1"/>
  <c r="H36" i="9" s="1"/>
  <c r="D37" i="9"/>
  <c r="C37" i="9"/>
  <c r="C94" i="7"/>
  <c r="C96" i="7" s="1"/>
  <c r="B94" i="7" s="1"/>
  <c r="B96" i="7" s="1"/>
  <c r="D256" i="2"/>
  <c r="C254" i="2" s="1"/>
  <c r="C256" i="2" s="1"/>
  <c r="C237" i="2"/>
  <c r="G37" i="9" l="1"/>
  <c r="F37" i="9" s="1"/>
  <c r="H37" i="9" s="1"/>
</calcChain>
</file>

<file path=xl/sharedStrings.xml><?xml version="1.0" encoding="utf-8"?>
<sst xmlns="http://schemas.openxmlformats.org/spreadsheetml/2006/main" count="2743" uniqueCount="1679">
  <si>
    <t>מרצה: ד״ר שי צבאן</t>
  </si>
  <si>
    <t>מייל: shay.tsaban@gmail.com</t>
  </si>
  <si>
    <t>טלפון: 050-6551519 (אני לא זמין אבל שיהיה)</t>
  </si>
  <si>
    <t>אופן הלמידה:</t>
  </si>
  <si>
    <t>כל ההרצאות, ההגדרות, העקרונות, התרגילים, הפתרונות - הכל מופיע ומעודכן בקובץ הזה (אם אתם ניגשים לקובץ</t>
  </si>
  <si>
    <t xml:space="preserve">באתר אחרי כל מפגש - תראו אותו בגרסה מלאה ועדכנית). </t>
  </si>
  <si>
    <t xml:space="preserve">התוכן של כל הרצאה - ייכלל בלשונית (גיליון) נפרד בקובץ, שהגישה אליו מתחתית הקובץ. </t>
  </si>
  <si>
    <t xml:space="preserve">הקלטות השיעורים יעלו בע״ה בסוף כל יום הרצאה. </t>
  </si>
  <si>
    <t>חובות הקורס:</t>
  </si>
  <si>
    <t xml:space="preserve">משקל הבחינה בציון הסופי 100%. </t>
  </si>
  <si>
    <t>יחד עם זאת - יש גם תרגילי הגשה, שאין להם משקל בציון הסופי, אבל כן חובה להגיש 80% מהם כדי לצבור זכאות</t>
  </si>
  <si>
    <t xml:space="preserve">לגשת לבחינה. ברגע שהגשתם - התרגיל נחשב, גם אם יש בו המון טעויות. </t>
  </si>
  <si>
    <t>כלי הלמידה בקורס:</t>
  </si>
  <si>
    <t xml:space="preserve">למחשב כזה (יש גם כאלו חדשים, שהצבע שלהם שחור). </t>
  </si>
  <si>
    <r>
      <t xml:space="preserve">רוב התרגילים בקורס ייפתרו על בסיס מחשבון פיננסי, מדגם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 xml:space="preserve">100V או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>200V של קסיו. להלן צילום מסך לדוגמא</t>
    </r>
  </si>
  <si>
    <t xml:space="preserve">לא משנה איזה מבין הדגמים תרכשו. </t>
  </si>
  <si>
    <t xml:space="preserve">מומלץ: לבדוק אם יש חברים / ידידות / ידידים שלמדו בעבר ומחזיקים מחשב כזה. </t>
  </si>
  <si>
    <t>הואיל וכל התוכן שתצטרכו אי פעם קיים בקובץ הזה - אין חובה לרשום במהלך השיעורים,</t>
  </si>
  <si>
    <t xml:space="preserve">אבל מי שמעוניינ/ת - מומלצת מחברת משבצות. </t>
  </si>
  <si>
    <t>פרק 1 - ערך הזמן של הכסף וערך עתידי</t>
  </si>
  <si>
    <t xml:space="preserve">מימון עוסק בחישובים פיננסיים, והוא מעניק משקל גדול מאד למושג ריבית. </t>
  </si>
  <si>
    <r>
      <t xml:space="preserve">המקרה הכי פשוט שמדבר על חישובים פיננסיים וכסף - הוא המקרה של חישוב </t>
    </r>
    <r>
      <rPr>
        <b/>
        <sz val="12"/>
        <color theme="1"/>
        <rFont val="David"/>
        <family val="2"/>
        <charset val="177"/>
      </rPr>
      <t>ערך עתידי</t>
    </r>
    <r>
      <rPr>
        <sz val="12"/>
        <color theme="1"/>
        <rFont val="David"/>
        <family val="2"/>
        <charset val="177"/>
      </rPr>
      <t xml:space="preserve">. </t>
    </r>
  </si>
  <si>
    <t>ערך עתידי: סוג של חישוב שמתבסס על סכומים כספיים (של הלוואה וגם של השקעה) ועל ריבית, ובאמצעותם ניתן</t>
  </si>
  <si>
    <t>דוגמא 1 - חישוב ערך עתידי FV של סכום יחיד בריבית קבועה</t>
  </si>
  <si>
    <t xml:space="preserve">אביב מפקיד היום סכום של 40,000 ש״ח לתכנית חסכון ל-7 שנים. </t>
  </si>
  <si>
    <t>תכנית החסכון צוברת ריבית שנתית בשיעור 5%.</t>
  </si>
  <si>
    <t>מהו הסכום הכולל שיעמוד לרשותו של אביב בתום השנה ה-7?</t>
  </si>
  <si>
    <t>פתרון:</t>
  </si>
  <si>
    <t xml:space="preserve">סוג החישוב - ערך עתידי FV. מדוע? כי הנדרש הוא לחשב את הסכום הכולל שיצטבר בעתיד. </t>
  </si>
  <si>
    <t>הפקדתי פעם אחת</t>
  </si>
  <si>
    <t>לוויתי פעם אחת</t>
  </si>
  <si>
    <t>וזהו...</t>
  </si>
  <si>
    <t>הפקדות תקופתיות קבועות</t>
  </si>
  <si>
    <t xml:space="preserve">למשל: הפקדה כל חודש </t>
  </si>
  <si>
    <t>זה המקרה בדוגמא 1</t>
  </si>
  <si>
    <r>
      <t xml:space="preserve">של </t>
    </r>
    <r>
      <rPr>
        <b/>
        <sz val="12"/>
        <color theme="1"/>
        <rFont val="David"/>
        <family val="2"/>
        <charset val="177"/>
      </rPr>
      <t>סכום יחיד</t>
    </r>
  </si>
  <si>
    <r>
      <t xml:space="preserve">של </t>
    </r>
    <r>
      <rPr>
        <b/>
        <sz val="12"/>
        <color theme="1"/>
        <rFont val="David"/>
        <family val="2"/>
        <charset val="177"/>
      </rPr>
      <t>סדרה</t>
    </r>
  </si>
  <si>
    <t>זה לא שייך לכאן, נלמד בהמשך...</t>
  </si>
  <si>
    <t>הפקדה היום</t>
  </si>
  <si>
    <t>PV</t>
  </si>
  <si>
    <t>כשמדובר בהפקדה, נרשום בסימן שלילי (-)</t>
  </si>
  <si>
    <t>ריבית</t>
  </si>
  <si>
    <t>I%</t>
  </si>
  <si>
    <r>
      <t xml:space="preserve">הריבית התקופתית הנתונה - </t>
    </r>
    <r>
      <rPr>
        <b/>
        <sz val="12"/>
        <color theme="1"/>
        <rFont val="David"/>
        <family val="2"/>
        <charset val="177"/>
      </rPr>
      <t>ריבית שנתית</t>
    </r>
    <r>
      <rPr>
        <sz val="12"/>
        <color theme="1"/>
        <rFont val="David"/>
        <family val="2"/>
        <charset val="177"/>
      </rPr>
      <t xml:space="preserve"> - רושמים את הריבית ללא סימן אחוז וללא המרה לשבר עשרוני</t>
    </r>
  </si>
  <si>
    <t>מס׳ תקופות</t>
  </si>
  <si>
    <t>n</t>
  </si>
  <si>
    <t>מספר תקופות הריבית - נתון שהריבית שנתית, לכן ה-n הוא מספר השנים: 7</t>
  </si>
  <si>
    <t>PMT</t>
  </si>
  <si>
    <t>תשלום תקופתי קבוע - ערך שמתקיים רק בסדרות - כאן - אין</t>
  </si>
  <si>
    <t>סכום תקופתי</t>
  </si>
  <si>
    <t>FV</t>
  </si>
  <si>
    <t>SOLVE</t>
  </si>
  <si>
    <t>התוצאה</t>
  </si>
  <si>
    <t>מסקנה: הסכום הכולל שהצטבר לאביב בתום השנה ה-7 הוא כ-56,284 ש״ח.</t>
  </si>
  <si>
    <t>דוגמא 1.1 - חישוב ערך עתידי FV של סכום יחיד בריבית קבועה - לתרגול כיתה</t>
  </si>
  <si>
    <t xml:space="preserve">שירן מעוניין להפקיד היום סכום של 100,000 ש״ח לתקופה של 3 שנים. </t>
  </si>
  <si>
    <r>
      <t xml:space="preserve">תוכנית החסכון אליה מפקיד שירן נושאת ריבית </t>
    </r>
    <r>
      <rPr>
        <b/>
        <sz val="12"/>
        <color theme="1"/>
        <rFont val="David"/>
        <family val="2"/>
        <charset val="177"/>
      </rPr>
      <t>חודשית</t>
    </r>
    <r>
      <rPr>
        <sz val="12"/>
        <color theme="1"/>
        <rFont val="David"/>
        <family val="2"/>
        <charset val="177"/>
      </rPr>
      <t xml:space="preserve"> בשיעור 0.1% לחודש. </t>
    </r>
  </si>
  <si>
    <t>מהו הסכום הכולל שיעמוד לרשותו של שירן בתום השנה ה-3?</t>
  </si>
  <si>
    <t>כשמדובר בהפקדה (בודדת, היום, מיד) נרשום בסימן שלילי</t>
  </si>
  <si>
    <r>
      <t xml:space="preserve">עד הודעה חדשה, מזינים את הריבית הנתונה - </t>
    </r>
    <r>
      <rPr>
        <b/>
        <sz val="12"/>
        <color theme="1"/>
        <rFont val="David"/>
        <family val="2"/>
        <charset val="177"/>
      </rPr>
      <t>ריבית חודשית</t>
    </r>
  </si>
  <si>
    <t xml:space="preserve">כמה תקופות ריבית (כמה חודשים) כלולים בתקופת העסקה - 3 שנים שהם 36 חודשים. </t>
  </si>
  <si>
    <t>אין כאן הפקדה חוזרת קבועה (אין כאן סדרה) אלא הפקדה בודדת התחלתית וזהו (PV)</t>
  </si>
  <si>
    <t>דוגמא 2 - חישוב ערך עתידי FV של סדרה קבועה - בסוף כל תקופה</t>
  </si>
  <si>
    <t xml:space="preserve">עמרי רוצה להפקיד אבל הוא שילם על שכר לימוד את כל מה שהיה לו בחשבון. </t>
  </si>
  <si>
    <t xml:space="preserve">ניגשתי לעמרי ואמרתי לו: ״אל תתבאס! אתה יכול להפקיד גם סכומים קטנים, כל עוד תתמיד״. </t>
  </si>
  <si>
    <t>עמרי שמע בקולי והחליט להפקיד בסוף כל חודש במשך 5 שנים סכום קבוע של 100 ש״ח.</t>
  </si>
  <si>
    <t>בהנחה שהריבית החודשית היא 0.5%, מהו הסכום הכולל שיעמוד לרשותו של עמרי בתום 5 השנים?</t>
  </si>
  <si>
    <t>השאלה עוסקת בערך עתידי (FV) - הסכום שיצטבר בעתיד</t>
  </si>
  <si>
    <t>האם זו הפקדה בודדת?</t>
  </si>
  <si>
    <t>לא</t>
  </si>
  <si>
    <t>האם זו סדרה?</t>
  </si>
  <si>
    <t>אין כאן הפקדה / תקבול חד פעמי</t>
  </si>
  <si>
    <t>הפקדה חודשית קבועה - בסימן שלילי</t>
  </si>
  <si>
    <t>ריבית לתקופת תשלום - כאן: הפקדות חודשיות, ריבית חודשית</t>
  </si>
  <si>
    <t>מספר התשלומים / ההפקדות - כל חודש, 5 שנים</t>
  </si>
  <si>
    <t>דוגמא 2.1 - חישוב ערך עתידי FV של סדרה קבועה - בסוף כל תקופה</t>
  </si>
  <si>
    <t>נויה מתכננת להפקיד בסוף כל רבעון במשך 10 שנים סכום של 400 ש״ח. הריבית לרבעון היא 1.5%.</t>
  </si>
  <si>
    <t>מהו הסכום הכולל שיעמוד לרשותה בתום השנה ה-10?</t>
  </si>
  <si>
    <t>ריבית לתקופת תשלום: תשלומים כל רבעון, ריבית רבעונית</t>
  </si>
  <si>
    <t>מספר התשלומים / ההפקדות: 4 בשנה, 10 שנים = 40</t>
  </si>
  <si>
    <t>הפקדה רבעונית קבועה בסימן שלילי</t>
  </si>
  <si>
    <t>דוגמא 3 - חישוב ערך עתידי FV של סדרה וסכום יחיד יחד</t>
  </si>
  <si>
    <t>של 500 ש״ח.</t>
  </si>
  <si>
    <t>בשאלה זו אפשר לזהות גם הפקדה בודדת / חד פעמית / היום (PV),</t>
  </si>
  <si>
    <t>וגם</t>
  </si>
  <si>
    <t>הפקדה כל חודש (PMT).</t>
  </si>
  <si>
    <t>כשיש גם סדרה וגם סכום יחיד - התהליך החישובי יוגדר בהתאם לסדרה.</t>
  </si>
  <si>
    <r>
      <t xml:space="preserve">עדן קאדרי מפקידה היום 25,000 ש״ח לחסכון. כמו כן, היא </t>
    </r>
    <r>
      <rPr>
        <b/>
        <sz val="12"/>
        <color theme="1"/>
        <rFont val="David"/>
        <family val="2"/>
        <charset val="177"/>
      </rPr>
      <t>תפקיד אליו בתום כל חודש</t>
    </r>
    <r>
      <rPr>
        <sz val="12"/>
        <color theme="1"/>
        <rFont val="David"/>
        <family val="2"/>
        <charset val="177"/>
      </rPr>
      <t xml:space="preserve"> במשך 4 שנים סכום חודשי</t>
    </r>
  </si>
  <si>
    <r>
      <t xml:space="preserve">בהנחה </t>
    </r>
    <r>
      <rPr>
        <b/>
        <sz val="12"/>
        <color theme="1"/>
        <rFont val="David"/>
        <family val="2"/>
        <charset val="177"/>
      </rPr>
      <t>שהריבית החודשית</t>
    </r>
    <r>
      <rPr>
        <sz val="12"/>
        <color theme="1"/>
        <rFont val="David"/>
        <family val="2"/>
        <charset val="177"/>
      </rPr>
      <t xml:space="preserve"> היא 0.4%, מהו הסכום הכולל שיעמוד לרשותה בתום 4 השנים?</t>
    </r>
  </si>
  <si>
    <t>דוגמא 4 - חילוץ מספר השנים בדרך ליעד עתידי FV נתון</t>
  </si>
  <si>
    <t>עידו בן 20 היום. בכוונתו לחסוך בתום כל חודש סכום של 1,000 ש״ח, לתוכנית חסכון הנושאת ריבית חודשית</t>
  </si>
  <si>
    <t>בשיעור של 0.3%.</t>
  </si>
  <si>
    <t xml:space="preserve">עידו מעוניין לצבור סכום שיספיק לו להון עצמי לדירה: 400,000 ש״ח. </t>
  </si>
  <si>
    <t>בן כמה יהיה עידו שלנו כאשר יגיע לסך הצבירה הנדרשת?</t>
  </si>
  <si>
    <t>בשונה מהשאלות הקודמות, שבהן המטרה היתה לחשב מהו הסכום הכולל שמצטבר, והערכים האחרים היו נתונים,</t>
  </si>
  <si>
    <t xml:space="preserve">כאן - הסכום המצטבר (העתידי - FV) נתון, ואנחנו צריכים לגלות כמה הפקדות חודשיות עידו יצטרך לבצע. </t>
  </si>
  <si>
    <t>הערך שיש לחשב - כמה חודשי הפקדה</t>
  </si>
  <si>
    <t>הריבית לתקופת תשלום / לחודש</t>
  </si>
  <si>
    <t>אין כאן הפקדה חד פעמית התחלתית</t>
  </si>
  <si>
    <t>סכום ההפקדה החודשית</t>
  </si>
  <si>
    <t>הסכום המצטבר הנדרש:</t>
  </si>
  <si>
    <t xml:space="preserve">המסקנה: עידו יצטרך להפקיד במשך כ-263 חודשים, כדי להגיע ליעד. </t>
  </si>
  <si>
    <t>אם נתרגם סכום זה לשנים ע״י חלוקה ב-12:</t>
  </si>
  <si>
    <t xml:space="preserve">263/12 = </t>
  </si>
  <si>
    <t xml:space="preserve">המשמעות: עידו יצטרך להתמיד בהפקדות כ-22 שנים על מנת לצבור את הסכום הנדרש. </t>
  </si>
  <si>
    <t xml:space="preserve">אם הוא בן 20 היום, בגיל 42, יוכל לרכוש דירה. </t>
  </si>
  <si>
    <t>דוגמא 4.1 - חילוץ מספר השנים בדרך ליעד עתידי FV נתון</t>
  </si>
  <si>
    <t xml:space="preserve">אדי מעוניין לחסוך לבוגאטי כתומה סכום של 4,900,000 ש״ח. </t>
  </si>
  <si>
    <t>לשם כך בכוונתו להפקיד היום סכום של 900,000 ש״ח ובנוסף בתום כל חודש סכום חודשי של 10,000 ש״ח.</t>
  </si>
  <si>
    <t>בהנחה שהריבית החודשית היא 0.4%, כמה חודשים יחלפו (במעוגל) עד שאדי יצבור את הסכום הנדרש?</t>
  </si>
  <si>
    <t>ההפקדות כל חודש, נדרשת ריבית חודשית</t>
  </si>
  <si>
    <t>הפקדה חד פעמית מיידית</t>
  </si>
  <si>
    <t>הפקדה חודשית קבועה</t>
  </si>
  <si>
    <t>הסכום העתידי הנצבר - נתון</t>
  </si>
  <si>
    <t>מספר ההפקדות</t>
  </si>
  <si>
    <t xml:space="preserve">בסך הכל, יחלפו כ-195 חודשים עד שאדי יצבור 4,900,000 ש״ח ובכך יגשים את חלומו. </t>
  </si>
  <si>
    <t xml:space="preserve">דוקטור צבאן הפקיד היום 280,000 ש״ח. בנוסף בכוונתו להפקיד בתום כל חודש 10,000 ש״ח במשך שנה. </t>
  </si>
  <si>
    <t>בהנחה שעל פי חישוביו הסכום שיצטבר בתום השנה הוא 490,000 ש״ח, מהי הריבית החודשית באפיק ההשקעה של</t>
  </si>
  <si>
    <t>הדוקטור?</t>
  </si>
  <si>
    <t>מספר ההפקדות בשנה - 12</t>
  </si>
  <si>
    <t>הפקדה חודשית קבועה (סדרתית)</t>
  </si>
  <si>
    <t>ערך עתידי נתון</t>
  </si>
  <si>
    <t>הריבית המחולצת - חודשית</t>
  </si>
  <si>
    <t>דוגמא 5 - חילוץ שיעור ריבית שמגולם בעסקה הכוללת סדרת תשלומים וסכום יחיד</t>
  </si>
  <si>
    <r>
      <t xml:space="preserve">דוגמא 6 -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</si>
  <si>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איזאר מפקיד היום סכום של 80,000 ש״ח ובנוסף כל חודש 12,000 ש״ח במשך שנה. </t>
  </si>
  <si>
    <t>הסכום הכולל שיעמוד לרשותו של איזאר בתום השנה הוא 380,000 ש״ח.</t>
  </si>
  <si>
    <r>
      <t xml:space="preserve">מהי הריבית </t>
    </r>
    <r>
      <rPr>
        <b/>
        <u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בעסקה?</t>
    </r>
  </si>
  <si>
    <t>מספר ההפקדות החודשיות בשנה</t>
  </si>
  <si>
    <t>הפקדה בודדת, מיידית</t>
  </si>
  <si>
    <t>הפקדה תקופתית - כל חודש</t>
  </si>
  <si>
    <t>הסכום העתידי - נתון</t>
  </si>
  <si>
    <t>יש כאן סדרה - לכן הריבית לתקופת תשלום (חודשית)</t>
  </si>
  <si>
    <t>נשאלת השאלה - אם הצלחנו לחלץ ריבית חודשית, אך נדרשת ריבית שנתית, כיצד תבוצע ההמרה מחודש לשנה?</t>
  </si>
  <si>
    <t>ברירת המחדל להמרות ריבית היא בשיטת ״ריבית דריבית״. שיטה זו אומרת, שבכל חודש הריבית נצברת על כל מה שהיה</t>
  </si>
  <si>
    <t>קודם, ולא רק על הקרן הראשונית. טכנית - המרת הריבית מבוצעת כך:</t>
  </si>
  <si>
    <t>ריבית שנתית</t>
  </si>
  <si>
    <t>ריבית חודשית</t>
  </si>
  <si>
    <t>=</t>
  </si>
  <si>
    <t>הריבית השנתית בתכנית של איזאר היא 113.85%. איזאר אוהב את השוק האפור.</t>
  </si>
  <si>
    <r>
      <t xml:space="preserve">דוגמא 6.1 -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</si>
  <si>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איתי מדר מעוניין לחסוך למכונה לחימום נקניק. </t>
  </si>
  <si>
    <t xml:space="preserve">ידוע לאיתי שאם יפקיד היום סכום חד פעמי של 20,000 ש״ח ובתום כל רבעון במשך 8 שנים סכום של 1,000 ש״ח, </t>
  </si>
  <si>
    <t xml:space="preserve">יעמדו לרשותו בתום השנה ה-8 בסך הכל 90,000 ש״ח. </t>
  </si>
  <si>
    <t>מהי הריבית השנתית בתוכנית אליה מפקיד איתי שלנו?</t>
  </si>
  <si>
    <t>תזכורת:</t>
  </si>
  <si>
    <t>שלב 1 - נציב את כל הערכים בטבלה, ונחלץ את %I.</t>
  </si>
  <si>
    <t xml:space="preserve">שלב 2 - נמיר את הריבית שמצאנו לשנה, עם חזקה מתאימה. </t>
  </si>
  <si>
    <t>מספר ההפקדות הרבעוניות ב-8 שנים</t>
  </si>
  <si>
    <t>הפקדה תקופתית - כל רבעון</t>
  </si>
  <si>
    <t>יש כאן סדרה - לכן הריבית לתקופת תשלום (לרבעון)</t>
  </si>
  <si>
    <t>המרת ריבית מתקופה של רבעון לתקופה של שנה:</t>
  </si>
  <si>
    <t>בהצבה:</t>
  </si>
  <si>
    <t xml:space="preserve">0.09943 = </t>
  </si>
  <si>
    <t xml:space="preserve">מסקנה: הריבית האפקטיבית השנתית בעסקה היא 9.943%. </t>
  </si>
  <si>
    <t>סיכום ביניים לתכני המפגש:</t>
  </si>
  <si>
    <t xml:space="preserve">התחלנו בדיון לגבי העובדה שמימון עוסק בחישובים כספיים המתייחסים לריבית. </t>
  </si>
  <si>
    <t>סוג החישוב הכי בסיסי ופשוט, הוא חישוב ערך עתידי - שדן בשאלה - איך מחשבים את הסכום העתידי המצטבר,</t>
  </si>
  <si>
    <t>כולל ריבית, בגין הפקדות / הלוואות, בסכום יחיד ובסדרות.</t>
  </si>
  <si>
    <t xml:space="preserve">למדנו על ההגדרות של הפרמטרים בחישוב, ניסינו להדגיש את הבדלי ההגדרות בין סכום יחיד לסדרה, </t>
  </si>
  <si>
    <t xml:space="preserve">והתחלנו לבצע התאמות של ריבית - שישרתו אותנו בהמשך הדרך. </t>
  </si>
  <si>
    <t xml:space="preserve">במפגש הבא: מחכים לנו יישומים נוספים - גם חישובים מורכבים יותר לגבי שינויים בעסקה ולאחר מכן נתחיל את </t>
  </si>
  <si>
    <t xml:space="preserve">הדיון בחישוב הכלכלי המורכב יותר - ערך נוכחי. </t>
  </si>
  <si>
    <t xml:space="preserve">עד מחר יעלו לכם לאתר (אוציא גם הודעה) תרגילים נוספים לא להגשה עם פתרון סופי. </t>
  </si>
  <si>
    <t>רענון:</t>
  </si>
  <si>
    <t xml:space="preserve">במפגש הקודם, לצד ההיכרות המלבבת, הצגנו את העובדה שחישובים רבים במימון למעשה עוסקים בחישובי ריבית - </t>
  </si>
  <si>
    <t xml:space="preserve">צבירת ריבית. מהו הסכום הכולל שנצבר בגין השקעות ובגין הלוואות. </t>
  </si>
  <si>
    <t>קראנו לחישובים אלו ״ערך עתידי״ או FV והראינו שניתן לחשבם בקלות רבה וללא עבודה מתמטית מתוחכמת</t>
  </si>
  <si>
    <t>באמצעות המחשבון הפיננסי.</t>
  </si>
  <si>
    <t xml:space="preserve">הבחנו בין ערך עתידי של סכום יחיד (מפקידים היום בומבה, מקבלים בעתיד בומבה, ללא סדרות תשלומים), </t>
  </si>
  <si>
    <t>לבין ערך עתידי של סדרה.</t>
  </si>
  <si>
    <t xml:space="preserve">היום - נתרגל נושאים אלו באינטנסיביות, ונעבור קצת, בקטנה, לחישוב ההפוך - ערך נוכחי PV ומשמעותו. </t>
  </si>
  <si>
    <t>מדריך טכני מתומצת - חישובי ערך עתידי FV במחשבון פיננסי (מדגם FC100V או FC200V של קאסיו):</t>
  </si>
  <si>
    <t>SHIFT</t>
  </si>
  <si>
    <t>פעמיים EXE</t>
  </si>
  <si>
    <t>AC</t>
  </si>
  <si>
    <r>
      <t xml:space="preserve">ראשית: מקובל מאד </t>
    </r>
    <r>
      <rPr>
        <b/>
        <sz val="12"/>
        <color rgb="FFFF0000"/>
        <rFont val="David"/>
        <family val="2"/>
        <charset val="177"/>
      </rPr>
      <t>לאפס</t>
    </r>
    <r>
      <rPr>
        <sz val="12"/>
        <color theme="1"/>
        <rFont val="David"/>
        <family val="2"/>
        <charset val="177"/>
      </rPr>
      <t xml:space="preserve"> את המחשבון הפיננסי טרם התחלת עבודה.</t>
    </r>
  </si>
  <si>
    <t>CMPD</t>
  </si>
  <si>
    <t>Set</t>
  </si>
  <si>
    <t>End</t>
  </si>
  <si>
    <t>בסכום יחיד - לא נוגעים</t>
  </si>
  <si>
    <t>מספר תקופות הריבית</t>
  </si>
  <si>
    <t>מזינים</t>
  </si>
  <si>
    <t>ריבית תקופתית</t>
  </si>
  <si>
    <t>ריבית תקופתית ללא סימן אחוז ואז EXE</t>
  </si>
  <si>
    <t>Present Value</t>
  </si>
  <si>
    <t>סכום ההפקדה היום (-) / סכום ההלוואה (+) ואז EXE</t>
  </si>
  <si>
    <t>Future Value</t>
  </si>
  <si>
    <t>ערך עתידי מצטבר שנרצה לחשב FV</t>
  </si>
  <si>
    <r>
      <t xml:space="preserve">שנית - כיצד מחשבים </t>
    </r>
    <r>
      <rPr>
        <b/>
        <sz val="12"/>
        <color theme="1"/>
        <rFont val="David"/>
        <family val="2"/>
        <charset val="177"/>
      </rPr>
      <t>ערך עתידי FV של סכום יחיד (בריבית קבועה)</t>
    </r>
    <r>
      <rPr>
        <sz val="12"/>
        <color theme="1"/>
        <rFont val="David"/>
        <family val="2"/>
        <charset val="177"/>
      </rPr>
      <t>?</t>
    </r>
  </si>
  <si>
    <t>שלישית - כיצד מחשבים ערך עתידי FV של סדרה קבועה (סר״ת = סכום, ריבית, תדירות &gt;&gt;&gt; קבוע)</t>
  </si>
  <si>
    <t xml:space="preserve">בסדרות - אפשר לבחור בין Begin ו-End </t>
  </si>
  <si>
    <t>בהמשך נסביר מתי Begin (ניתן לשנות ע״י עמידה על השורה ו-EXE)</t>
  </si>
  <si>
    <r>
      <t xml:space="preserve">מספר </t>
    </r>
    <r>
      <rPr>
        <u/>
        <sz val="12"/>
        <color theme="1"/>
        <rFont val="David"/>
        <family val="2"/>
        <charset val="177"/>
      </rPr>
      <t>התשלומים בסדרה</t>
    </r>
  </si>
  <si>
    <r>
      <t xml:space="preserve">מספר </t>
    </r>
    <r>
      <rPr>
        <u/>
        <sz val="12"/>
        <color theme="1"/>
        <rFont val="David"/>
        <family val="2"/>
        <charset val="177"/>
      </rPr>
      <t>תקופות הריבית</t>
    </r>
    <r>
      <rPr>
        <sz val="12"/>
        <color theme="1"/>
        <rFont val="David"/>
        <family val="2"/>
        <charset val="177"/>
      </rPr>
      <t xml:space="preserve"> ולחיצה על EXE</t>
    </r>
  </si>
  <si>
    <t>ריבית לפרק הזמן בין תשלומים</t>
  </si>
  <si>
    <t>אם בנוסף לסדרה יש גם הפקדה / הלוואה היום - נזין</t>
  </si>
  <si>
    <t>אם אין הפקדה / הלוואה בהווה מיד, נזין 0 בערך</t>
  </si>
  <si>
    <t>ההפקדה התקופתית (-) או התקבול התקופתי +</t>
  </si>
  <si>
    <t xml:space="preserve">תרגול המדריך הטכני </t>
  </si>
  <si>
    <t>שאלה 1</t>
  </si>
  <si>
    <t xml:space="preserve">שירן מפקיד היום 40,000 ש״ח לתוכנית חסכון ל-7 שנים הנושאת ריבית שנתית קבועה בשיעור 4%. </t>
  </si>
  <si>
    <t>שאלה 1 - ערך עתידי FV של סכום יחיד בריבית קבועה</t>
  </si>
  <si>
    <t>לא נוגע - כי זו לא סדרה</t>
  </si>
  <si>
    <t>הריבית שנתית, לכן את מספר השנים</t>
  </si>
  <si>
    <t>הריבית התקופתית הנתונה היא שנתית, ושיעורה 4%</t>
  </si>
  <si>
    <t>הפקדה חד פעמית מיידית (-)</t>
  </si>
  <si>
    <t>אין כאן סדרת תשלומים, לכן 0</t>
  </si>
  <si>
    <t>שאלה 2 - ערך עתידי FV של סכום יחיד בריבית קבועה</t>
  </si>
  <si>
    <t>דוקטור צבאן מפקיד היום 2,400,000 ש״ח ל-8 שנים בריבית שנתית של 9%. ידוע שבוגאטי תעלה בעוד 8 שנים 4,500,000 ש״ח.</t>
  </si>
  <si>
    <t>האם הדוקטור יצבור מספיק כדי להגשים את חלום הבוגאטי?</t>
  </si>
  <si>
    <t xml:space="preserve">כדי לדעת אם הדוקטור יצבור מספיק, למעשה נחשב את הערך העתידי FV. אם הסכום יהיה גבוה מעלות הבוגאטי - </t>
  </si>
  <si>
    <t xml:space="preserve">סימן שהצליח לחסוך מספיק. אחרת - יחסר לו כסף. </t>
  </si>
  <si>
    <t>לא סדרה - לא נוגע</t>
  </si>
  <si>
    <t>הריבית שנתית - לכן נזין את מס׳ השנים</t>
  </si>
  <si>
    <t>הריבית התקופתית הנתונה - ריבית שנתית</t>
  </si>
  <si>
    <t>הפקדה חד פעמית היום בסימן שלילי</t>
  </si>
  <si>
    <t>אין כאן סדרה לכן ה-PMT=0</t>
  </si>
  <si>
    <t>שאלה 3 - ערך עתידי FV של סכום יחיד בריבית קבועה</t>
  </si>
  <si>
    <t xml:space="preserve">באדר מפקיד היום סכום של 10 ש״ח בחסכון ל-50 שנה, בריבית חצי שנתית של 4%. </t>
  </si>
  <si>
    <t>מהו הסכום שיעמוד לרשותו בתום 50 השנים?</t>
  </si>
  <si>
    <t xml:space="preserve">הטריק בשאלה הזו הוא הדיון בריבית ובתקופות. </t>
  </si>
  <si>
    <t>תקופת ריבית היא חצי שנה - כמה חצאים נכנסים ב-50 שנה?</t>
  </si>
  <si>
    <t>הריבית התקופתית - ריבית לחצי שנה</t>
  </si>
  <si>
    <t>מה למדנו מהשאלה הזו בהשוואה לקודמות?</t>
  </si>
  <si>
    <t>שכאשר מחשבים ערך עתידי של סכום יחיד, ה-n לא מייצג את מספר השנים, אלא את מספר תקופות הריבית.</t>
  </si>
  <si>
    <t>מביטים על הריבית, קובעים לכמה זמן היא, ורק אז מסיקים כמה תקופות של ריבית נכנסות בעסקה.</t>
  </si>
  <si>
    <t xml:space="preserve">כאן: הבטתי על הריבית, היא לחצי שנה, ואז שאלתי את עצמי - כמה תקופות של חצי שנה נכנסות ב-50 שנה, התשובה n=100. </t>
  </si>
  <si>
    <t>שאלה 4 - ערך עתידי FV של סדרה</t>
  </si>
  <si>
    <t>עידו חי בתור סטודנט על לחם ומים בלבד. חלומו הוא לאפשר לעצמו לאכול בשלב מסוים לאפה שווארמה.</t>
  </si>
  <si>
    <t>בהנחה שהריבית החודשית 1%, ושעלות הלאפה בעוד 3 שנים היא 85 ש״ח, ושעלות שתיה 15 ש״ח, האם יוכל</t>
  </si>
  <si>
    <t>להתפנק על לאפה ושתיה בסיום לימודיו?</t>
  </si>
  <si>
    <r>
      <t xml:space="preserve">לשם כך בכוונתו </t>
    </r>
    <r>
      <rPr>
        <b/>
        <sz val="12"/>
        <color theme="1"/>
        <rFont val="David"/>
        <family val="2"/>
        <charset val="177"/>
      </rPr>
      <t>להפקיד בתום כל חודש</t>
    </r>
    <r>
      <rPr>
        <sz val="12"/>
        <color theme="1"/>
        <rFont val="David"/>
        <family val="2"/>
        <charset val="177"/>
      </rPr>
      <t xml:space="preserve"> במשך כל לימודיו (3 שנים) סכום של 2 ש״ח. </t>
    </r>
  </si>
  <si>
    <t xml:space="preserve">מדובר בסדרה קבועה (הפקדות כל חודש). </t>
  </si>
  <si>
    <t>סדרה - עם הפקדות בסוף כל חודש</t>
  </si>
  <si>
    <t>אין פה תשלום חד פעמי מיידי</t>
  </si>
  <si>
    <t>סכום ההפקדה התקופתי</t>
  </si>
  <si>
    <t>שאלה 5 - ערך עתידי FV של שילוב סדרה עם סכום יחיד</t>
  </si>
  <si>
    <t xml:space="preserve">עמרי התייאש מהלימודים והחליט לפתוח דוכן לחימום נקניק. לשם הקמת הדוכן הפקיד היום 10,000 ש״ח וכמו כן, </t>
  </si>
  <si>
    <t xml:space="preserve">בתום כל רבעון במשך שנה יפקיד 7,000 ש״ח. הריבית הרבעונית 3%. בעוד שנה יפתח את הדוכן. מהו הסכום הכולל </t>
  </si>
  <si>
    <t>שיעמוד לרשותו במועד זה (בתום השנה)?</t>
  </si>
  <si>
    <t>ההפקדות בתום כל רבעון, נשאיר:</t>
  </si>
  <si>
    <t>מספר ההפקדות:</t>
  </si>
  <si>
    <t>הריבית לתקופת הפקדה (לרבעון!)</t>
  </si>
  <si>
    <t>הפקדה חד פעמית היום (במינוס):</t>
  </si>
  <si>
    <t>הפקדה תקופתית (במינוס):</t>
  </si>
  <si>
    <t xml:space="preserve">מדובר בסדרה קבועה (הפקדות כל רבעון). </t>
  </si>
  <si>
    <t>הפקדות כל רבעון === 4 הפקדות בשנה וכאן מדובר בשנה אחת</t>
  </si>
  <si>
    <t>ההפקדות כל רבעון, נדרשת ריבית רבעונית, ברוך השם היא נתונה</t>
  </si>
  <si>
    <t>הפקדה בודדת, חד פעמית, מיידית היום</t>
  </si>
  <si>
    <t>ההפקדה הרבעונית הקבועה הנתונה</t>
  </si>
  <si>
    <t>שאלה 6 - ערך עתידי FV של שילוב סדרה עם סכום יחיד</t>
  </si>
  <si>
    <t>אדי חולם לפרוש מחשבונאות ולהקים חווה בצפון. לשם כך, יפקיד היום סכום של 150,000 ש״ח, ובנוסף - כל חודשיים</t>
  </si>
  <si>
    <t xml:space="preserve">יפקיד סכום קבוע של 4,000 ש״ח במשך 5 שנים. </t>
  </si>
  <si>
    <t>מהו הסכום הכולל שיעמוד לרשותו של אדי בתום 5 השנים, אם הריבית לחודשיים היא 1%?</t>
  </si>
  <si>
    <t>הפקדה תקופתית קבועה</t>
  </si>
  <si>
    <t>כל חודשיים</t>
  </si>
  <si>
    <t>הפקדה כל חודשיים &gt;&gt;&gt;  ריבית לחודשיים</t>
  </si>
  <si>
    <t>בכל שנה ״נכנס״ 6 פעמים ערך של חודשיים; וב-5 שנים: 5*6 = 30</t>
  </si>
  <si>
    <t>שאלה 7 - ערך עתידי FV של שילוב סדרה עם סכום יחיד</t>
  </si>
  <si>
    <t xml:space="preserve">יחי מתכנן להפקיד בתום כל 4 חודשים סכום של 5,000 ש״ח במשך 8 שנים. </t>
  </si>
  <si>
    <t xml:space="preserve">כמו כן, יפקיד היום סכום חד פעמי של 20,000 ש״ח. </t>
  </si>
  <si>
    <t>מהו הסכום הכולל שיעמוד לרשותו בתום 8 השנים, אם הריבית ל-4 חודשים היא 2%?</t>
  </si>
  <si>
    <t>ההפקדה הסדרתית (שחוזרת על עצמה)</t>
  </si>
  <si>
    <t>ריבית לתקופת תשלום - ל-4 חודשים</t>
  </si>
  <si>
    <t>ערך של 4 חודשים נכלל 3 פעמים בשנה, בסך הכל 8 שנים: 8*3=24</t>
  </si>
  <si>
    <t>מספר התשלומים</t>
  </si>
  <si>
    <t>מדריך טכני מתומצת - ערך עתידי ״מסובך״, בשלבים</t>
  </si>
  <si>
    <t xml:space="preserve">עד כה הנחנו שהסכומים קבועים, הריבית קבועה ולכן היה אפשר לחשב את ה-FV ב״מכה אחת״. </t>
  </si>
  <si>
    <t xml:space="preserve">בעולם האמיתי - זה ממש לא תמיד ככה. חלים שינויים בסכומים שמפקידים, בריבית וכיו״ב. </t>
  </si>
  <si>
    <t xml:space="preserve">המטרה שלנו היא לשכלל את אופן החישוב כך שידע להתייחס לשינויים בפרמטרים. </t>
  </si>
  <si>
    <t>אופן הטיפול:</t>
  </si>
  <si>
    <t xml:space="preserve">נחלק את תהליך העבודה ל״שלבים״. </t>
  </si>
  <si>
    <t xml:space="preserve">כל שלב יקבל חישוב FV משלו. </t>
  </si>
  <si>
    <t xml:space="preserve">שלב מסתיים במועד שבו חל שינוי באחד או יותר מהפרמטרים (סכום, ריבית, תדירות וכיו״ב). </t>
  </si>
  <si>
    <t xml:space="preserve">בכל שלב, לאחר חישוב FV הוא יהפוך להיות ה-PV של השלב הבא. </t>
  </si>
  <si>
    <t>תרגיל 8 - ערך עתידי של סכום יחיד בריבית משתנה</t>
  </si>
  <si>
    <t xml:space="preserve">עדן מפקידה היום 40,000 ש״ח לתקופה של 12 שנים, כדי לקנות Macbook מפואר בתום השנה ה-12. </t>
  </si>
  <si>
    <t>הריבית השנתית בכל אחת מ-4 השנים הראשונות היא 3% לשנה, בכל אחת מ-6 השנים העוקבות 2% לשנה,</t>
  </si>
  <si>
    <t xml:space="preserve">ובכל אחת מהשנתיים הנותרות 5% לשנה. </t>
  </si>
  <si>
    <t>מהו הסכום הכולל שיעמוד לרשותה של עדן בתום 12 השנים?</t>
  </si>
  <si>
    <t xml:space="preserve">באופן עקרוני - יש כאן סיפור על ערך עתידי של סכום יחיד, אך קיים שינוי בפרמטר (ריבית). </t>
  </si>
  <si>
    <t xml:space="preserve">בעסקה כזו - נפעל בחלוקה לשלבים / חלקים. כל חלק יסתיים רגע לפני השינוי. </t>
  </si>
  <si>
    <t>למה הכוונה?</t>
  </si>
  <si>
    <t>חלק א:</t>
  </si>
  <si>
    <t>שנים 1-4, כאשר הריבית 3%.</t>
  </si>
  <si>
    <t>חלק ב:</t>
  </si>
  <si>
    <t xml:space="preserve">שנים 5-10, כאשר הריבית 2%. </t>
  </si>
  <si>
    <t>חלק ג:</t>
  </si>
  <si>
    <t>שנים 11-12, כאשר הריבית 5%.</t>
  </si>
  <si>
    <t>א</t>
  </si>
  <si>
    <t>ב</t>
  </si>
  <si>
    <t>ג</t>
  </si>
  <si>
    <t>אין פה סדרה אין מצב ל-Set Begin</t>
  </si>
  <si>
    <t>הריבית הנתונה שנתית</t>
  </si>
  <si>
    <t>בחלק הראשון - סכום ההפקדה</t>
  </si>
  <si>
    <t>אין כאן סדרה</t>
  </si>
  <si>
    <t>התשובה</t>
  </si>
  <si>
    <t>עדן תוכל לרכוש בעוד 12 שנים Macbook בעלות של 55,897 ש״ח.</t>
  </si>
  <si>
    <t>תרגיל 9 - ערך עתידי של סכום יחיד בריבית משתנה</t>
  </si>
  <si>
    <t xml:space="preserve">פוקינדה הפקיד היום 100,000 ש״ח לתקופה של 20 שנים. </t>
  </si>
  <si>
    <t>הריבית השנתית בכל אחת מ-7 השנים הראשונות היא 4%.</t>
  </si>
  <si>
    <t>הריבית החצי שנתית בכל אחת מ-5 השנים לאחר מכן היא 3%.</t>
  </si>
  <si>
    <t>הריבית הרבעונית בכל שנה עוקבת (שנים 13-20) היא 1%.</t>
  </si>
  <si>
    <t>מהו הסכום הכולל שיעמוד לרשותו של פוקינדה בתום 20 השנים?</t>
  </si>
  <si>
    <t>שנים 1-7</t>
  </si>
  <si>
    <t>שנים 8-12</t>
  </si>
  <si>
    <t>שנים 13-20</t>
  </si>
  <si>
    <t>תרגיל 10 - ערך עתידי של סדרה משתנה</t>
  </si>
  <si>
    <t xml:space="preserve">נויה הפקידה בכל חודש במהלך 3 השנים האחרונות סכום של 1,000 ש״ח. </t>
  </si>
  <si>
    <t xml:space="preserve">כעת, נרשמה נויה ללימודים, והמכללה שותה לה את הכסף עם קש. לכן, סכום ההפקדה החודשי שלה במשך 4 </t>
  </si>
  <si>
    <t xml:space="preserve">השנים הבאות יקטן ל-20 ש״ח לחודש. </t>
  </si>
  <si>
    <t xml:space="preserve">בסיום הלימודים, מתכננת נויה להפקיד 5,000 ש״ח בתום כל חודש במשך 5 שנים. </t>
  </si>
  <si>
    <t>מהו הסכום הכולל שיעמוד לרשותה של נויה בתום השנה ה-12 אם ידוע שהריבית החודשית קבועה בשיעור 0.5%.</t>
  </si>
  <si>
    <t>שנים 1-3</t>
  </si>
  <si>
    <t>שנים 4-7</t>
  </si>
  <si>
    <t>שלוש שנים</t>
  </si>
  <si>
    <t>ארבע שנים</t>
  </si>
  <si>
    <t>חמש שנים</t>
  </si>
  <si>
    <t>סיכום ביניים - מה למדנו?</t>
  </si>
  <si>
    <t xml:space="preserve">רכשנו מחשבון פיננסי, ולמדנו כיצד לאפס אותו. </t>
  </si>
  <si>
    <t xml:space="preserve">הגדרנו את אופן החישוב של הפרמטרים בשאלות פשוטות - גם בסכום יחיד וגם בסדרות. </t>
  </si>
  <si>
    <t xml:space="preserve">התחלנו לבצע תרגול מורכב יותר - שמתייחס לעסקאות שכוללות שינויים בפרמטרים. </t>
  </si>
  <si>
    <t xml:space="preserve">לבית - נעלה לכם תרגילים נוספים בסגנון זה, ובמפגש הבא נעסוק בתרגולים נוספים. </t>
  </si>
  <si>
    <t>שיעורי בית לשיעור 2 (עם פתרונות מלאים, לא להגשה)</t>
  </si>
  <si>
    <t>קוקי הפקיד 50,000 ש״ח ל-8 שנים בתוכנית חסכון הנושאת ריבית שנתית בשיעור 5%. מהו הסכום הכולל שיעמוד</t>
  </si>
  <si>
    <t>לרשותו בתום השנה ה-8?</t>
  </si>
  <si>
    <t>שאלה 2</t>
  </si>
  <si>
    <t>שלושה חודשים הם רבעון. בשנה יש 4 רבעונים וב-8 שנים יש 32 רבעונים</t>
  </si>
  <si>
    <t>שאלה 3</t>
  </si>
  <si>
    <t>שנתית של 3% בכל שנה לאחר מכן. מהו הסכום הכולל שיעמוד לרשותו בתום השנה ה-8?</t>
  </si>
  <si>
    <t>גונדי הפקיד 50,000 ש״ח ל-8 שנים בתוכנית חסכון הנושאת ריבית שנתית בשיעור 2% בכל אחת מ-4 השנים הראשונות וריבית</t>
  </si>
  <si>
    <t>שאלה 4</t>
  </si>
  <si>
    <t>שנתית של 3% בכל שנה לאחר מכן. מהו הסכום הכולל שיעמוד לרשותו בתום השנה ה-9?</t>
  </si>
  <si>
    <t>פאפא הפקיד 80,000 ש״ח ל-9 שנים בתוכנית חסכון הנושאת ריבית חצי שנתית בשיעור 2% בכל אחת מ-4 השנים הראשונות וריבית</t>
  </si>
  <si>
    <t>שאלה 5</t>
  </si>
  <si>
    <t>חציל מפקיד 4,000 ש״ח לחודש בתום כל חודש במשך 7 שנים. מהו הסכום הכולל שיעמוד לרשותו בתום השנה</t>
  </si>
  <si>
    <t>ה-7 אם הריבית החודשית 2%?</t>
  </si>
  <si>
    <t>שאלה 6</t>
  </si>
  <si>
    <t xml:space="preserve">באבי מפקיד 4,000 ש״ח לחודש בתום כל חודש במשך 10 שנים. בנוסף מפקיד היום סכום חד פעמי של 12,000 ש״ח. </t>
  </si>
  <si>
    <t>שאלה 7</t>
  </si>
  <si>
    <t xml:space="preserve">זוזו הפקיד 80,000 ש״ח ל-9 שנים. בנוסף הפקיד בתום כל חודש במשך 3 השנים הראשונות סכום של 1,000 ש״ח </t>
  </si>
  <si>
    <t>ובתום כל חודש במשך 6 השנים לאחר מכן סכום של 2,000 ש״ח. הריבית החודשית 2%. מהו הסכום הכולל שיעמוד</t>
  </si>
  <si>
    <t>לרשותו בתום השנה ה-9?</t>
  </si>
  <si>
    <t>שאלה 8</t>
  </si>
  <si>
    <t xml:space="preserve">חוחה הפקיד 75,000 ש״ח ל-12 שנים. בנוסף הפקיד בתום כל חודש במשך 3 השנים הראשונות סכום של 2,000 ש״ח </t>
  </si>
  <si>
    <t>והסכומים כולם צברו ריבית חודשית בשיעור 1% עד לסוף השנה ה-12. מהו הסכום הכולל שיעמוד לרשותו של חוחה</t>
  </si>
  <si>
    <t>בתום השנה ה-12?</t>
  </si>
  <si>
    <t>שאלה 9</t>
  </si>
  <si>
    <t>הריבית השנתית בכל אחת מ-4 השנים הראשונות היא 1%.</t>
  </si>
  <si>
    <t>הריבית החצי שנתית בכל אחת מ-7 השנים לאחר מכן היא 1.5%.</t>
  </si>
  <si>
    <t>שנים 1-4</t>
  </si>
  <si>
    <t>שנים 5-11</t>
  </si>
  <si>
    <t>שנים 12-18</t>
  </si>
  <si>
    <t>שבע שנים</t>
  </si>
  <si>
    <t xml:space="preserve">המחיר הצפוי ללאפה בעוד 18 שנים הוא 200 ש״ח. </t>
  </si>
  <si>
    <t>מהו הסכום הכולל שיעמוד לרשותה בתום 18 השנים? האם שי יזכה ללאפה?</t>
  </si>
  <si>
    <t>לא מספיק ללאפה.</t>
  </si>
  <si>
    <t>מורן חלמיש עידן הפקידה היום 40 ש״ח לתקופה של 18 שנים. מטרתה לקנות לדוקטור צבאן לאפה בתום 18 השנים.</t>
  </si>
  <si>
    <t>שאלה 10</t>
  </si>
  <si>
    <t>ד״ר גליונה מקימה בחברה מתחם לחימום נקניק והיא מעוניינת לחסוך למכונת עטיפת מעיים חדשה כדי להשלים את הסט.</t>
  </si>
  <si>
    <t xml:space="preserve">לשם כך שמה מתחת לבלטות 400 ש״ח בתום כל חודש במהלך השנה שחלפה (0% ריבית). </t>
  </si>
  <si>
    <t xml:space="preserve">ריבית רבעונית בשיעור 2% ולהפקיד לשם בתום כל רבעון במשך 3 שנים סכום רבעוני של 600 ש״ח. </t>
  </si>
  <si>
    <t>וחוו דיעה לגבי הסכום)</t>
  </si>
  <si>
    <t>מהו הסכום הכולל שיעמוד לרשותה של ד״ר גליונה בתום השנה ה-9? (רשות: חפשו בגוגל מכונות לעטיפת נקניק במעיים</t>
  </si>
  <si>
    <t xml:space="preserve">היא מתכננת לקחת את כל הסכום שנצבר, לנקות אותו מהג׳יפה של הבלטות, להפקיד את כולו לחסכון הנושא  </t>
  </si>
  <si>
    <t>בתום כל חודש בשנתיים לאחר מכן תפקיד סכום חודשי של 1,000 ש״ח, ובשנתיים אלו החסכון יישא ריבית חודשית בשיעור 0.8%.</t>
  </si>
  <si>
    <t>במהלך 4 השנים לאחר מכן הכספים ימשיכו לצבור ריבית חצי שנתית של 0.3% ללא הפקדות נוספות עד לפירעון שיחול בחלוף 9 שנים מהיום.</t>
  </si>
  <si>
    <t>שנתיים</t>
  </si>
  <si>
    <t>שנים 4-5</t>
  </si>
  <si>
    <t>שנים 6-9</t>
  </si>
  <si>
    <r>
      <t xml:space="preserve">מהו הסכום הכולל שיעמוד לרשותו בתום השנה ה-10 אם הריבית </t>
    </r>
    <r>
      <rPr>
        <b/>
        <sz val="12"/>
        <color rgb="FFFF0000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0.4%?</t>
    </r>
  </si>
  <si>
    <t>הריבית ל-4 חודשים בכל שנה עוקבת (שנים 12-18) היא 0.8%.</t>
  </si>
  <si>
    <t>תרגיל 1 - רמת מבחן</t>
  </si>
  <si>
    <t xml:space="preserve">משה שוקל להפקיד היום 140,000 ש״ח. כמו כן יפקיד בעוד 8 שנים סכום של 90,000 ש״ח. </t>
  </si>
  <si>
    <t xml:space="preserve">בנוסף, בכוונתו להפקיד בתום כל חודש במשך 10 שנים סכום חודשי של 2,000 ש״ח. </t>
  </si>
  <si>
    <t>בהנחה שהריבית החודשית היא 1%, מהו הסכום הכולל שיעמוד לרשותו של משה בתום 10 השנים?</t>
  </si>
  <si>
    <t>האם אטפל בעקרון בשאלה על בסיס ההגדרות של סכום יחיד או סדרה?</t>
  </si>
  <si>
    <t>ניתן לזהות בשאלה גם הפקדה חד פעמית היום וגם סדרה - לכן באופן כללי, ההגדרות של החישוב יתאימו לסדרה.</t>
  </si>
  <si>
    <t>שאלה נוספת שתלווה אותי - האם נחשב ערך עתידי ב״שלב אחד״ או ״בשלבים״?</t>
  </si>
  <si>
    <t>התשובה היא: ״בשלבים״ - ומדוע? משום שאין כאן רק סדרה רציפה עם סכום התחלתי, אלא יש גם הפרעה / שינוי</t>
  </si>
  <si>
    <t xml:space="preserve">ערך נוסף בזמן 8. </t>
  </si>
  <si>
    <t>חודשים</t>
  </si>
  <si>
    <t>תום שנה 10</t>
  </si>
  <si>
    <t>סכום התחלתי</t>
  </si>
  <si>
    <t>n = 120</t>
  </si>
  <si>
    <t>I% = 1</t>
  </si>
  <si>
    <t>הפרעה</t>
  </si>
  <si>
    <t>סכום נוסף</t>
  </si>
  <si>
    <t xml:space="preserve">לאור קיום ההפרעה, נפצל את החישוב לשני חלקים - עד ההפרעה ואחריה. </t>
  </si>
  <si>
    <t>pmt = -2,000</t>
  </si>
  <si>
    <t>לתום זמן 96</t>
  </si>
  <si>
    <t>לפני הפרעה</t>
  </si>
  <si>
    <t>מזמן 96</t>
  </si>
  <si>
    <t>לזמן 120</t>
  </si>
  <si>
    <t>במועד השינוי - לסכום שהצטבר</t>
  </si>
  <si>
    <t>בחודשים קודמים 683,753</t>
  </si>
  <si>
    <t>הוספנו עוד 90,000</t>
  </si>
  <si>
    <t>התשובה הסופית - סך הצבירה: 1,036,408.</t>
  </si>
  <si>
    <t>תרגיל 2 - לתרגול כיתה</t>
  </si>
  <si>
    <t>עדאן הלכה לפתוח חסכון בבנק במסגרתו תפקיד 50,000 ש״ח היום, 40,000 ש״ח בעוד שנה, ו-45,000 ש״ח בעוד 3 שנים.</t>
  </si>
  <si>
    <t xml:space="preserve">כמו כן, במהלך השנה הראשונה לא תפקיד סכום קבוע, אך בכל אחת מהשנים 2, 3, 4 תפקיד סכום חודשי של 3,000 ש״ח. </t>
  </si>
  <si>
    <t xml:space="preserve">מטרתה להגיע למצב שבו בתום השנה ה-4 תצבור 450,000 ש״ח כדי לקנות Macbooks לסטודנטים. </t>
  </si>
  <si>
    <t xml:space="preserve">בהנחה שהריבית החודשית בשנים 1 ו-2 היא 1%, והריבית החודשית בכל חודש לאחר מכן 3%, מהו הסכום הכולל </t>
  </si>
  <si>
    <t xml:space="preserve">שיעמוד לרשות עדאן בתום השנה ה-4. </t>
  </si>
  <si>
    <t>שלב 1 - 
סכום בודד</t>
  </si>
  <si>
    <t>שלב 2
שנה 2 (עד 
ריבית)</t>
  </si>
  <si>
    <t>שלב 3
עד התוספת</t>
  </si>
  <si>
    <t>שלב 4
עד לסיום 
הפקדון</t>
  </si>
  <si>
    <t>הפקדות חד פעמיות</t>
  </si>
  <si>
    <t>פירעון</t>
  </si>
  <si>
    <t>הסופית</t>
  </si>
  <si>
    <t>תרגיל 3 - נקניקיה בפיתה</t>
  </si>
  <si>
    <t xml:space="preserve">שי חולם על נקניקיה בפיתה. </t>
  </si>
  <si>
    <t>הוא גדל באור יהודה ולכן עלות פיתה עבורו היא בגדר חלום.</t>
  </si>
  <si>
    <t xml:space="preserve">לאחר שנתיים, נגמר לשי הכסף. הוא השאיר את הצבירה בחסכון במשך 3 שנים נוספות. </t>
  </si>
  <si>
    <t xml:space="preserve">והסכום כולו נפרע בתום השנה ה-6. </t>
  </si>
  <si>
    <t xml:space="preserve">בהנחה שהריבית לאחר השנה השניה היא ריבית חודשית קבועה של 0.8%, </t>
  </si>
  <si>
    <t xml:space="preserve">ובהינתן שעלות של נקניקיה בפיתה בתום השנה ה-6 צפויה להיות 38 ש״ח, האם יוכל שי להגשים את חלומו. </t>
  </si>
  <si>
    <r>
      <t xml:space="preserve">לשם הגשמת החלום החליט להפקיד היום </t>
    </r>
    <r>
      <rPr>
        <b/>
        <sz val="12"/>
        <color rgb="FFFF0000"/>
        <rFont val="David"/>
        <family val="2"/>
        <charset val="177"/>
      </rPr>
      <t>2</t>
    </r>
    <r>
      <rPr>
        <sz val="12"/>
        <color theme="1"/>
        <rFont val="David"/>
        <family val="2"/>
        <charset val="177"/>
      </rPr>
      <t xml:space="preserve"> ש״ח שגנב מקערת הטיפים בקפיטריה וכן להפקיד בתום כל חודש</t>
    </r>
  </si>
  <si>
    <r>
      <t xml:space="preserve">במשך שנתיים </t>
    </r>
    <r>
      <rPr>
        <b/>
        <sz val="12"/>
        <color rgb="FF0070C0"/>
        <rFont val="David"/>
        <family val="2"/>
        <charset val="177"/>
      </rPr>
      <t>חצי שקל</t>
    </r>
    <r>
      <rPr>
        <sz val="12"/>
        <color theme="1"/>
        <rFont val="David"/>
        <family val="2"/>
        <charset val="177"/>
      </rPr>
      <t xml:space="preserve"> (כל חודש). </t>
    </r>
  </si>
  <si>
    <r>
      <t xml:space="preserve">הריבית החודשית בשנה הראשונה </t>
    </r>
    <r>
      <rPr>
        <b/>
        <sz val="12"/>
        <color rgb="FF00B050"/>
        <rFont val="David"/>
        <family val="2"/>
        <charset val="177"/>
      </rPr>
      <t>1</t>
    </r>
    <r>
      <rPr>
        <sz val="12"/>
        <color theme="1"/>
        <rFont val="David"/>
        <family val="2"/>
        <charset val="177"/>
      </rPr>
      <t xml:space="preserve">%. בשנה השניה, </t>
    </r>
    <r>
      <rPr>
        <b/>
        <sz val="12"/>
        <color rgb="FFFF8AD8"/>
        <rFont val="David"/>
        <family val="2"/>
        <charset val="177"/>
      </rPr>
      <t>0.5</t>
    </r>
    <r>
      <rPr>
        <sz val="12"/>
        <color theme="1"/>
        <rFont val="David"/>
        <family val="2"/>
        <charset val="177"/>
      </rPr>
      <t xml:space="preserve">%. </t>
    </r>
  </si>
  <si>
    <t>תום שנה 1</t>
  </si>
  <si>
    <t>תום שנה 2</t>
  </si>
  <si>
    <t>תום שנה 5</t>
  </si>
  <si>
    <r>
      <t xml:space="preserve">בתום השנה השלישית הנוספת (בתום שנה 5 ביחס להיום), </t>
    </r>
    <r>
      <rPr>
        <b/>
        <sz val="12"/>
        <color theme="1"/>
        <rFont val="David"/>
        <family val="2"/>
        <charset val="177"/>
      </rPr>
      <t>הוסיף סכום חד פעמי של 4 ש״ח שקיבל מסטודנט</t>
    </r>
    <r>
      <rPr>
        <sz val="12"/>
        <color theme="1"/>
        <rFont val="David"/>
        <family val="2"/>
        <charset val="177"/>
      </rPr>
      <t xml:space="preserve">. </t>
    </r>
  </si>
  <si>
    <t>עוצרים בזמן 12, בתום השנה ה-1</t>
  </si>
  <si>
    <t>לאור שינוי הריבית במועד זה</t>
  </si>
  <si>
    <t>עוצר בזמן 24</t>
  </si>
  <si>
    <t>בתום השנה</t>
  </si>
  <si>
    <t>ה-2</t>
  </si>
  <si>
    <t>לאור הפסקת ההפקדות</t>
  </si>
  <si>
    <t>וגם שינוי הריבית</t>
  </si>
  <si>
    <t>עוצר בזמן 60</t>
  </si>
  <si>
    <t>כי יש תוספת</t>
  </si>
  <si>
    <t xml:space="preserve">סכום חד </t>
  </si>
  <si>
    <t>פעמי</t>
  </si>
  <si>
    <t>תום שנה 6</t>
  </si>
  <si>
    <t>שלב 1</t>
  </si>
  <si>
    <t>שלב 2</t>
  </si>
  <si>
    <t>שלב 3</t>
  </si>
  <si>
    <t>שלב 4</t>
  </si>
  <si>
    <t xml:space="preserve">שי לא יוכל להגשים את חלומו לפיתה עם נקניק עתיר קוליפורמים. </t>
  </si>
  <si>
    <t>תרגיל 4 - פינת ליטוף</t>
  </si>
  <si>
    <t xml:space="preserve">חורחה מעוניין להקים פינת ליטוף במרכז האקדמי למשפט ועסקים ברמת גן. </t>
  </si>
  <si>
    <t xml:space="preserve">לשם כך, יפקיד היום 100 ש״ח, בעוד שנה 200 ש״ח, וכן בתום כל חודש 5 ש״ח. </t>
  </si>
  <si>
    <t xml:space="preserve">אם ידוע שהריבית החודשית קבועה בשיעור 2% לחודש, מהו הסכום הכולל שיעמוד לרשותו של חורחה בתום שנתיים. </t>
  </si>
  <si>
    <t>״הפרעה״</t>
  </si>
  <si>
    <t>שנובעת</t>
  </si>
  <si>
    <t>מהפקדת סכום חד פעמי</t>
  </si>
  <si>
    <t>נוסף, לכן שלב נוסף</t>
  </si>
  <si>
    <t>מפגש 3 - סיכום בסיסי של תרגילי ערך עתידי FV</t>
  </si>
  <si>
    <t>שיעור 4 - ערך נוכחי PV - הבסיס לכל החלטה עסקית וחישוב שווי</t>
  </si>
  <si>
    <t>רקע:</t>
  </si>
  <si>
    <t xml:space="preserve">בכל 3 השיעורים הקודמים עסקנו בחישוב ערך עתידי FV - Future Value. </t>
  </si>
  <si>
    <t xml:space="preserve">חישובים אלו עזרו לנו להבין כמה נקבל בעתיד אם נפקיד (כולל ריבית המצטברת), </t>
  </si>
  <si>
    <t xml:space="preserve">וכן כמה נצטרך לשלם בעתיד אם ניקח הלוואה (כולל הריבית המצטברת). </t>
  </si>
  <si>
    <t>במישור הפרטי (ביום יום שלנו) - חישובים אלו שימושיים מאד. כולנו לוקחים הלוואות, כולנו משקיעים - ורוצים</t>
  </si>
  <si>
    <t xml:space="preserve">לדעת כמה נקבל / נשלם. </t>
  </si>
  <si>
    <t>לעומת זאת, בהחלטות עסקיות - במקרים רבים השאלה הכי מעניינת היא:</t>
  </si>
  <si>
    <t>״כמה זה שווה היום״:</t>
  </si>
  <si>
    <t>כמה שווה היום דירה שתימכר בעתיד בסכום מסוים?</t>
  </si>
  <si>
    <t>כמה שווה היום נכס שניתן להשכיר ולקבל בגינו דמי שכירות בעתיד?</t>
  </si>
  <si>
    <t>כמה שווה היום מניה שתשלם דיבידנד בעתיד (תשלום רווח למשקיע)?</t>
  </si>
  <si>
    <t>מהו סכום ההלוואה שאני כבנק אסכים לתת היום ללקוח על בסיס משכורתו העתידית?</t>
  </si>
  <si>
    <t xml:space="preserve">כל החישובים האלו, ונוספים - עוסקים למעשה בערך נוכחי - ביכולת שלנו לתרגם לשווי בהווה </t>
  </si>
  <si>
    <t xml:space="preserve">סכום או סכומים בעתיד: PV או Present Value. </t>
  </si>
  <si>
    <t>שאלה 1 - הדגמת ערך נוכחי בסיסי, של סכום יחיד</t>
  </si>
  <si>
    <t xml:space="preserve">וורקיטו שוקלת לרכוש היום נכס השקעה. ידוע לוורקיטו שהנכס צפוי להניב בעוד 7 שנים סכום של 300,000 ש״ח. </t>
  </si>
  <si>
    <t xml:space="preserve">הואיל והשאלה דורשת לחשב את הסכום שנסכים לשלם במקסימום עבור הנכס היום - מדובר בשווי הנכס היום, PV. </t>
  </si>
  <si>
    <t>כדי לבצע את החישוב, נגדיר:</t>
  </si>
  <si>
    <t>להלן ההגדרות הרלוונטיות לחישוב ערך נוכחי של סכום יחיד בריבית קבועה:</t>
  </si>
  <si>
    <t>הריבית הנתונה - מדובר בריבית שנתית נתונה</t>
  </si>
  <si>
    <t>בהנחה שהריבית השנתית היא 6%, מהו הסכום המירבי שתסכים וורקיטו לשלם בעד הנכס היום?</t>
  </si>
  <si>
    <t>מספר תקופות הריבית - הריבית שנתית, העסקה ל-7 שנים</t>
  </si>
  <si>
    <t>אין כאן סדרה, מקבלים רק סכום יחיד ״בסוף״</t>
  </si>
  <si>
    <t>הסכום היחיד / החד פעמי בסיום העסקה</t>
  </si>
  <si>
    <t>התוצאה, הערך המחושב</t>
  </si>
  <si>
    <t>התוצאה נתקבלה במינוס, הואיל והמשמעות היא: ״אני מוכן לשלם היום לכל היותר 199,517 ש״ח כדי לקבל נכס</t>
  </si>
  <si>
    <t xml:space="preserve">שיניב בעוד 7 שנים סכום של 300,000״. </t>
  </si>
  <si>
    <t>שאלה 1.1 - הדגמת ערך נוכחי בסיסי, של סכום יחיד - לאימון כיתה</t>
  </si>
  <si>
    <t>עידו מעוניין לרכוש מכונה לחימום נקניק. המכונה צפויה להניב לו תקבול חד פעמי בעוד 3 שנים בסכום של 20,000 ש״ח.</t>
  </si>
  <si>
    <r>
      <t xml:space="preserve">מהו הסכום המירבי שיסכים עידו לשלם היום בעד מכונת הנקניק אם הריבית </t>
    </r>
    <r>
      <rPr>
        <b/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היא 0.4%?</t>
    </r>
  </si>
  <si>
    <t>הריבית הנתונה - ריבית חודשית</t>
  </si>
  <si>
    <t>מספר תקופות הריבית - מספר החודשים ב-3 שנים</t>
  </si>
  <si>
    <t xml:space="preserve">הסכום המירבי שיסכים עידו לשלם בעד מכונת חימום הנקניק הוא 17,322.73 ש״ח. </t>
  </si>
  <si>
    <t>שאלה 2 - הדגמת ערך נוכחי בסיסי - של סדרה קבועה</t>
  </si>
  <si>
    <t xml:space="preserve">עידו מעוניין לרכוש מגרש שעליו יוקם מפעל לחימום נקניק. </t>
  </si>
  <si>
    <t xml:space="preserve">המגרש צפוי להניב לעידו דמי שכירות חודשיים בסכום של 7,000 ש״ח במשך 20 שנה. </t>
  </si>
  <si>
    <t>בהנחה שהריבית החודשית היא 0.9%, מהו הסכום המירבי שיסכים עידו לשלם היום בעד מפעל חימום הנקניק?</t>
  </si>
  <si>
    <t>להלן ההגדרות הרלוונטיות לחישוב ערך נוכחי של סדרה:</t>
  </si>
  <si>
    <t>מדובר בסדרה עם תשלומים חודשיים - נדרשת ריבית חודשית</t>
  </si>
  <si>
    <t>מספר התשלומים בסדרה - כאן: זהה למספר החודשים</t>
  </si>
  <si>
    <t>התשלום התקופתי הקבוע החודשי - עידו יקבל, לכן +</t>
  </si>
  <si>
    <t>תקבול חד פעמי בסיום העסקה (כאן - אין, רק סדרה)</t>
  </si>
  <si>
    <t xml:space="preserve">הסכום המירבי שיסכים עידו לשלם בעד המגרש היום הוא כ-687,209.60.  </t>
  </si>
  <si>
    <t>השווי היום / הסכום המירבי שעידו ישלם היום</t>
  </si>
  <si>
    <t>שאלה 2.1 - הדגמת ערך נוכחי בסיסי - של סדרה קבועה - התנסות כיתה</t>
  </si>
  <si>
    <t xml:space="preserve">מועאד מעוניין לרכוש מכונה ללק ג׳ל. </t>
  </si>
  <si>
    <t xml:space="preserve">הוא צופה להניב ממנה הכנסה חודשית נקיה של 15,000 ש״ח לחודש, במשך 5 שנים. </t>
  </si>
  <si>
    <t>בהנחה שהריבית החודשית היא 0.4%, מהו הסכום המירבי שיסכים מועאד לשלם בעד מכונת לק הג׳ל היום?</t>
  </si>
  <si>
    <t xml:space="preserve">לפרטים וזימון תור ללק ג׳ל אצל מועאד - צרו קשר פרטים בביו. </t>
  </si>
  <si>
    <t>השווי היום / הסכום המירבי שמועאד ישלם היום</t>
  </si>
  <si>
    <t xml:space="preserve">הסכום המירבי שמועאד יסכים לשלם בעד מכונת לק הג׳ל היום הוא כ-798,733 ש״ח. </t>
  </si>
  <si>
    <t>שאלה 3 - ערך נוכחי של סכום יחיד וסדרה יחד, ריבית קבועה</t>
  </si>
  <si>
    <t xml:space="preserve">מרווה שוקלת לרכוש מכונה ענקית לחימום נקניק. </t>
  </si>
  <si>
    <t>המכונה תניב לה בתום כל חודש במשך 5 שנים סכום של 3,000 ש״ח.</t>
  </si>
  <si>
    <t xml:space="preserve">כמו כן, בסיום 5 השנים, המכונה תוכל להמכר בתמורה משוערת של 40,000 ש״ח. </t>
  </si>
  <si>
    <t>מהו הסכום המירבי שתסכים מרווה לשלם היום בעד המכונה, אם הריבית השנתית היא 6%?</t>
  </si>
  <si>
    <t>כשאני
מזהה
סדרה וסכום
יחיד
הפרמטרים
מוגדרים כסדרה</t>
  </si>
  <si>
    <t xml:space="preserve">הואיל ויש כאן סדרה (למרות שיש גם סכום יחיד) - הריבית %I חייבת להתאים לתקופת תשלום. </t>
  </si>
  <si>
    <t>כאן - התקבול הוא חודשי, לכן נדרשת ריבית חודשית.</t>
  </si>
  <si>
    <t xml:space="preserve">לצערי, הריבית שנתנו לי שנתית. לכן צריך להתאים אותה (בגישת ריבית דריבית) משנה לחודש. </t>
  </si>
  <si>
    <t>ההמרה הזו מתבססת על מעריך חזקה מתאים באופן הבא:</t>
  </si>
  <si>
    <t>חישוב מתמטי רגיל (מחוץ ל-CMPD):</t>
  </si>
  <si>
    <t>במחשבון:</t>
  </si>
  <si>
    <t>בהזנה למחשבון הפיננסי, ערך זה (של החישוב במחשבון לעיל) יוכפל ב-100 משום שב-CMPD הכל באחוזים:</t>
  </si>
  <si>
    <t xml:space="preserve">0.004867551 * 100 = </t>
  </si>
  <si>
    <t xml:space="preserve">(1 + 6%)^(1/12)-1 = </t>
  </si>
  <si>
    <t xml:space="preserve">(1 + 6/100)^(1/12)-1 = </t>
  </si>
  <si>
    <t>שאלה 3.1 - ערך נוכחי של סכום יחיד וסדרה יחד, ריבית קבועה - התנסות כיתה</t>
  </si>
  <si>
    <t xml:space="preserve">באדר שוקל להקים בית מלון שיתמחה בהגשת נקניק חם לאורחים. </t>
  </si>
  <si>
    <t>בית המלון צפוי להניב לו בתום כל חצי שנה סכום של 200,000 ש״ח ובנוסף בעוד 14 שנים סכום</t>
  </si>
  <si>
    <t xml:space="preserve">חד פעמי של 4,000,000 ש״ח. </t>
  </si>
  <si>
    <t>מהו הסכום המירבי שיסכים באדר לשלם היום בעד המכונה, אם הריבית השנתית היא 10.25%?</t>
  </si>
  <si>
    <t>זכרו - הואיל ויש סדרה, הריבית צריכה להתאים לתקופת תשלום, כלומר לחצי שנה. לצערנו הריבית נתונה לשנה שלמה</t>
  </si>
  <si>
    <t xml:space="preserve">ולכן תדרש התאמה. אמנם בעבר עשינו בעיקר התאמות משנה לחודש, אבל משנה לחצי שנה זה לא שונה בהרבה - </t>
  </si>
  <si>
    <t xml:space="preserve">פשוט נשנה את החזקה בהתאם. </t>
  </si>
  <si>
    <t>ריבית לתקופת תשלום - לחצי שנה, אופן המרה - למטה</t>
  </si>
  <si>
    <t>מספר התקבולים החצי שנתיים ב-14 שנים</t>
  </si>
  <si>
    <t>תקבול תקופתי קבוע +</t>
  </si>
  <si>
    <t>תקבול חד פעמי בסוף</t>
  </si>
  <si>
    <t>מסקנה: הסכום המירבי שיסכים באדר לשלם היום הוא 4,000,000 ש״ח.</t>
  </si>
  <si>
    <t>שאלה 4 - חישוב ערך נוכחי של סדרה וסכום יחיד עם התאמת ריבית</t>
  </si>
  <si>
    <t>יארה פנתה לעידו. היא ציינה בפניו שיש לה כסף פנוי להשקעה.</t>
  </si>
  <si>
    <t>עידו סיפר לה שהוא שמע על הזדמנות השקעה חד פעמית בקו מכונות חימום נקניק שפרוס ברחבי המרכז האקדמי</t>
  </si>
  <si>
    <t xml:space="preserve">למשפט ולעסקים. </t>
  </si>
  <si>
    <t>קו מכונות הנקניק יקנה ליארה בתום כל רבעון במשך 10 השנים הקרובות סכום של 30,000 ש״ח, ובתום 10 השנים</t>
  </si>
  <si>
    <t xml:space="preserve">סכום חד פעמי של 400,000 ש״ח ובמועד זה, הפרויקט יסתיים. </t>
  </si>
  <si>
    <t>יחד עם זאת, בסיום הפרויקט, תצטרך יארה לבצע על חשבונה ניקיון מקיף מכל שאריות הכרבולות והפופיקים בקמפוס</t>
  </si>
  <si>
    <t>בעלות חד פעמית של 45,000 ש״ח.</t>
  </si>
  <si>
    <t>בהנחה שהריבית השנתית 4%, מהו הסכום שיארה תסכים לשלם היום בעד הפרויקט?</t>
  </si>
  <si>
    <t>ריבית לתקופת תשלום</t>
  </si>
  <si>
    <t>מספר התשלומים הקבועים</t>
  </si>
  <si>
    <t>הערך המחושב - ערך נוכחי</t>
  </si>
  <si>
    <t>התקבול הקבוע בכל תקופה - כל רבעון</t>
  </si>
  <si>
    <t>התקבול החד פעמי בסיום הפרויקט</t>
  </si>
  <si>
    <t>המרת ריבית (נוסחה) - משנה לרבעון:</t>
  </si>
  <si>
    <t>לאחר יישום נוסחת הריבית הזו נכפול ב-100,</t>
  </si>
  <si>
    <t xml:space="preserve">ורק את התוצאה נכניס ל-%I. </t>
  </si>
  <si>
    <t>סכום זה מורכב מהתקבול בתום התקופה:</t>
  </si>
  <si>
    <t>בניכוי עלויות הניקיון שישולמו באותו זמן:</t>
  </si>
  <si>
    <t>סך הכל תקבול בתום התקופה נטו:</t>
  </si>
  <si>
    <t xml:space="preserve">0.00985347 * 100 = </t>
  </si>
  <si>
    <t>שאלה 4.1 - חישוב ערך נוכחי של סדרה וסכום יחיד עם התאמת ריבית - להתנסות כיתה</t>
  </si>
  <si>
    <t xml:space="preserve">מה הערך הנוכחי של סדרה הכוללת תקבול של 40,000 ש״ח כל חודש במשך 4 שנים, אם ידוע שהריבית השנתית </t>
  </si>
  <si>
    <t xml:space="preserve">היא 12.6825% וכמו כן בסיום העסקה עליכם לשלם סכום חד פעמי של 12,000 ש״ח. </t>
  </si>
  <si>
    <t>המרת ריבית משנה לחודש:</t>
  </si>
  <si>
    <t>ריבית לפרק זמן בין תשלומים</t>
  </si>
  <si>
    <t>הערך שמחשבים</t>
  </si>
  <si>
    <t>התשלום הקבוע</t>
  </si>
  <si>
    <t>התשלום החד פעמי בסוף התקופה</t>
  </si>
  <si>
    <t xml:space="preserve">בתרגיל זה: אנחנו משלמים (מוציאים כסף) בתום התקופה ולא מקבלים. </t>
  </si>
  <si>
    <t>לכן, הערך המשולם כאן בתום התקופה מוזן בסימן שלילי (במינוס)</t>
  </si>
  <si>
    <t>מסקנה: הערך הנוכחי של הסדרה הוא 1,511,515 ש״ח.</t>
  </si>
  <si>
    <t>שאלה 5 - סכום הלוואה כערך נוכחי</t>
  </si>
  <si>
    <t xml:space="preserve">עידו מעוניין לרכוש את המכונה שבתמונה. </t>
  </si>
  <si>
    <t xml:space="preserve">לשם כך באפשרותו ליטול הלוואה היום. </t>
  </si>
  <si>
    <t>כושר ההחזר של עידו (הסכום שאותו יוכל להחזיר בתום</t>
  </si>
  <si>
    <t xml:space="preserve">כל חודש לבנק) הוא 3,000 ש״ח. </t>
  </si>
  <si>
    <t xml:space="preserve">משך הפרויקט הוא 8 שנים. </t>
  </si>
  <si>
    <t>הבנק גובה מעידו ריבית שנתית של 8%.</t>
  </si>
  <si>
    <t xml:space="preserve">נדרש: מהו הסכום של ההלוואה אשר הבנק יאשר היום, </t>
  </si>
  <si>
    <t>לטובת הרכישה, בהתאם לכושר ההחזר שלו?</t>
  </si>
  <si>
    <t xml:space="preserve">הדרכה: הערך הנוכחי של התשלומים שיכול עידו לבצע - </t>
  </si>
  <si>
    <t xml:space="preserve">הוא למעשה סכום ההלוואה שיועבר אליו היום. </t>
  </si>
  <si>
    <t>ריבית לחודש</t>
  </si>
  <si>
    <t>מספר התשלומים החודשיים</t>
  </si>
  <si>
    <t>התשלום החודשי הקבוע</t>
  </si>
  <si>
    <t>מדוע במינוס? כי משלמים כל חודש, לא מקבלים</t>
  </si>
  <si>
    <t>תשלום / תקבול חד פעמי בסוף</t>
  </si>
  <si>
    <t>סכום ההלוואה היום</t>
  </si>
  <si>
    <t>סכום הלוואה הוא הערך הנוכחי של החזריה</t>
  </si>
  <si>
    <t>אינני מתפלא על כך שקיבלתי תוצאה חיובית, המעידה על כך שאנו צפויים לקבל היום כסף - בעד המחויבות לשלם בעתיד.</t>
  </si>
  <si>
    <t>מפגש 5 - יסודות המימון א - ערך נוכחי - הרחבות ויישומים</t>
  </si>
  <si>
    <t>רענון וחיבור לאחור:</t>
  </si>
  <si>
    <t>במפגשים הראשונים עסקנו בחישוב ערך עתידי - FV.</t>
  </si>
  <si>
    <t>המטרה שלו היתה - לבדוק מהו הסכום הכולל הנצבר בגין סכום יחיד, בגין סדרה, בגין הפקדות משתנות - לתום</t>
  </si>
  <si>
    <t xml:space="preserve">התקופה. </t>
  </si>
  <si>
    <t xml:space="preserve">במפגש האחרון - התחלנו לדבר דווקא על ערך נוכחי - PV. </t>
  </si>
  <si>
    <t>זה חישוב קצת פחות טריביאלי - אבל המטרה העקורנית שלו היא להצליח לבטא את השווי היום של סכום או</t>
  </si>
  <si>
    <t xml:space="preserve">סכומים שיתקבלו / ישולמו בעתיד. </t>
  </si>
  <si>
    <t>חישובי PV הם חשובים מאד ברמה העסקית - כי בדרך כלל נשאל ״כמה הנכס שווה״ כדי לדעת אם להתקשר בעסקה.</t>
  </si>
  <si>
    <t>תרגיל 0 - ערך נוכחי בחישוב פשוט יחסית</t>
  </si>
  <si>
    <t>גורגונזולה שוקלת לרכוש היום נכס שצפוי להניב לה 5,000 ש״ח בתום כל שנה במשך 10 שנים, וכמו כן, בתום</t>
  </si>
  <si>
    <t xml:space="preserve">השנה ה-10 הנכס יימכר בתמורה צפויה של 40,000 ש״ח. בהנחה שהריבית השנתית של גורגונזולה היא 4%, </t>
  </si>
  <si>
    <t>מהו הסכום המירבי שהיא תסכים לשלם בעד הנכס היום?</t>
  </si>
  <si>
    <t>בתור התחלה - עלינו לזהות את סוג השאלה. עלינו להבין לעומק - מדוע דווקא ערך נוכחי?</t>
  </si>
  <si>
    <r>
      <t xml:space="preserve">התשובה היא - שצריך לחשב פה ערך נוכחי PV משום שסוג השאלה עוסק במטרת להגיע לשווי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</si>
  <si>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שנים</t>
  </si>
  <si>
    <t>...</t>
  </si>
  <si>
    <t>PV = ?</t>
  </si>
  <si>
    <t>תרגיל 1 - ערך נוכחי מסובך עם שינויים</t>
  </si>
  <si>
    <t>פוקהונטס שוקלת להשקיע בנכס נדל״ן שצפוי להניב לה 5,000 ש״ח בתום כל חודש במשך 7 שנים, ולאחר מכן</t>
  </si>
  <si>
    <t>סכום חודשי של 8,000 ש״ח בתום כל חודש במשך 10 שנים נוספות.</t>
  </si>
  <si>
    <t xml:space="preserve">בתום השנה ה-17 צפוי הנכס להמכר בתמורה ל-3,000,000 ש״ח. </t>
  </si>
  <si>
    <t>בנתונים אלו, ובהנחה שהריבית החודשית היא 0.4%, מהו המחיר המירבי שפוקהונטס תסכים לשלם בעד הנכס היום?</t>
  </si>
  <si>
    <t>תום שנה 17</t>
  </si>
  <si>
    <t>בחודשים</t>
  </si>
  <si>
    <t>תום שנה 7</t>
  </si>
  <si>
    <r>
      <t xml:space="preserve">כאשר אני מבצע חישוב של PV ״מורכב״ (עם שינויים) אני תמיד עובד </t>
    </r>
    <r>
      <rPr>
        <b/>
        <sz val="12"/>
        <color theme="1"/>
        <rFont val="David"/>
        <family val="2"/>
        <charset val="177"/>
      </rPr>
      <t>מהסוף להתחלה</t>
    </r>
    <r>
      <rPr>
        <sz val="12"/>
        <color theme="1"/>
        <rFont val="David"/>
        <family val="2"/>
        <charset val="177"/>
      </rPr>
      <t xml:space="preserve">. </t>
    </r>
  </si>
  <si>
    <t xml:space="preserve">זה בדיוק להפך (שונה מהותית) מחישוב FV מורכב שעובד מההתחלה לסוף. </t>
  </si>
  <si>
    <t>שלב א</t>
  </si>
  <si>
    <t>שלב ב</t>
  </si>
  <si>
    <t>הזנת הערכים של שלב א</t>
  </si>
  <si>
    <t>וביצוע SOLVE PV</t>
  </si>
  <si>
    <t>את ה-PV של שלב א</t>
  </si>
  <si>
    <t xml:space="preserve">נזין ל-FV של שלב ב אבל בסימן הפוך. </t>
  </si>
  <si>
    <t>נשלים את ההזנה של כל יתר הפרמטרים</t>
  </si>
  <si>
    <t>של שלב ב, ונבצע SOLVE PV</t>
  </si>
  <si>
    <t xml:space="preserve">אחרון. התוצאה שתתקבל - </t>
  </si>
  <si>
    <t xml:space="preserve">היא שווי הנכס. </t>
  </si>
  <si>
    <t>תרגיל 2 - ערך נוכחי מסובך עם שינויים</t>
  </si>
  <si>
    <t xml:space="preserve">רונאלדו שוקל להשקיע בנכס. </t>
  </si>
  <si>
    <t>הנכס צפוי להניב לו 30,000 ש״ח בתום כל חודש במשך 5 שנים, כאשר התקבול</t>
  </si>
  <si>
    <t xml:space="preserve">הראשון הוא חודש אחד לאחר תום השנה ה-3. </t>
  </si>
  <si>
    <t>בשנה ה-9 הנכס לא יניב דבר, ובשנה ה-10 וה-11 יקבל 20,000 ש״ח בתום כל חודש.</t>
  </si>
  <si>
    <t>בתום השנה ה-14, ימכור את הנכס בתקבול חד פעמי של 5,000,000 ש״ח.</t>
  </si>
  <si>
    <t xml:space="preserve">בהנחה שהריבית החודשית אליה כפוף רונאלדו היא 1%, מהו הסכום הכולל </t>
  </si>
  <si>
    <t>שיסכים לשלם רונאלדו בעד הנכס היום?</t>
  </si>
  <si>
    <t>תום</t>
  </si>
  <si>
    <t>שנה 14</t>
  </si>
  <si>
    <t>הציר בחודשים:</t>
  </si>
  <si>
    <t>שנה 3</t>
  </si>
  <si>
    <t>שנה 8</t>
  </si>
  <si>
    <t>שלוש שנים לא מקבל</t>
  </si>
  <si>
    <t>חמש שנים מקבל</t>
  </si>
  <si>
    <t>שנה 9</t>
  </si>
  <si>
    <t>שנה 9 לא מקבל</t>
  </si>
  <si>
    <t>שנים 10, 11</t>
  </si>
  <si>
    <t xml:space="preserve">תום </t>
  </si>
  <si>
    <t>שנה 11</t>
  </si>
  <si>
    <t>שנים 12, 13, 14</t>
  </si>
  <si>
    <t>שלב ג</t>
  </si>
  <si>
    <t>שלב ד</t>
  </si>
  <si>
    <t>שלב ה</t>
  </si>
  <si>
    <t>מס׳ חודשים / מס׳ תשלומים</t>
  </si>
  <si>
    <t xml:space="preserve">רונאלדו מוכן לשלם בעד העסקה סכום של 2,027,343 ש״ח היום. </t>
  </si>
  <si>
    <t>תרגיל 3 - ערך נוכחי מסובך עם שינויים</t>
  </si>
  <si>
    <t>בר רפאלי שוקלת לרכוש נכס שצפוי להניב לה בתום כל חודש במשך שנה סכום של 4,000 ש״ח.</t>
  </si>
  <si>
    <t>לאחר מכן, בתום כל חודש בשנה ה-2 וה-3 יניב הנכס 6,000 ש״ח.</t>
  </si>
  <si>
    <t>בשנה ה-4, הנכס לא יניב דבר (ברמה החודשית), אך בתום השנה ה-4 יניב סכום חד פעמי בסך של 2,000,000 ש״ח.</t>
  </si>
  <si>
    <t>בהנחה שהריבית החודשית היא 1%, מהו שווי הנכס היום?</t>
  </si>
  <si>
    <t>קרולינה למקה ברלין</t>
  </si>
  <si>
    <t>שנה 4</t>
  </si>
  <si>
    <t>1...............12</t>
  </si>
  <si>
    <t>13................</t>
  </si>
  <si>
    <t>תרגיל 4 - ערך נוכחי מסובך עם שינויים</t>
  </si>
  <si>
    <t xml:space="preserve">זמר מצליח שוקל לרכוש היום קו תפעול למכונות חימום נקניק. </t>
  </si>
  <si>
    <t>הקו צפוי להניב לו בתום כל אחת מ-8 השנים הקרובות סכום חצי שנתי</t>
  </si>
  <si>
    <t>של 20,000 ש״ח.</t>
  </si>
  <si>
    <t>בכל רבעון במהלך 3 השנים לאחר מכן, הסכום הרבעוני יהיה 12,000 ש״ח.</t>
  </si>
  <si>
    <t>בשנים 12, 13 ו-14 הסכום החודשי שיניב הקו הוא 9,000 ש״ח.</t>
  </si>
  <si>
    <t>מהו הסכום הכולל שיסכים הזמר המצליח לשלם היום בעד הקו,</t>
  </si>
  <si>
    <t>אם ידוע שהריבית השנתית במשך 8 השנים הראשונות היא 10.25%,</t>
  </si>
  <si>
    <t>ואילו הריבית השנתית בכל שנה לאחר מכן היא 12.6825%.</t>
  </si>
  <si>
    <t xml:space="preserve">דגש - כאשר אני מחשב ערך נוכחי (או עתידי) של סדרות, חשוב מאד לוודא שהריבית שבה משתמשים היא הריבית </t>
  </si>
  <si>
    <t>לתקופת תשלום. כאן - תקופות התשלום משתנות: כל חצי שנה, כל חודש, כל רבעון... והריבית שנתית.</t>
  </si>
  <si>
    <t>לכן, בתור התחלה אנו חייבים לדאוג לכך שהריביות יתאימו בכל הסדרות לפרק הזמן בין תשלומים.</t>
  </si>
  <si>
    <t xml:space="preserve">אם רוצים לעבור משנה לחצי שנה - </t>
  </si>
  <si>
    <t>מעריך החזקה יהיה 1/2</t>
  </si>
  <si>
    <t xml:space="preserve">אם רוצים לעבור </t>
  </si>
  <si>
    <t>משנה לרבעון (1/4 שנה)</t>
  </si>
  <si>
    <t>מעריך החזקה יהיה 1/4</t>
  </si>
  <si>
    <t>אם רוצים</t>
  </si>
  <si>
    <t>לעבור משנה לחודש</t>
  </si>
  <si>
    <t>מעריך החזקה יהיה 1/12</t>
  </si>
  <si>
    <t>11+1/12</t>
  </si>
  <si>
    <t>מפגש 6 - יסודות המימון א - ערך נוכחי - הרחבות ויישומים: הלוואות שפיצר, תכנון פיננסי, חילוצים</t>
  </si>
  <si>
    <t>מטרה:</t>
  </si>
  <si>
    <t>להיות מסוגלים לזהות בעיה כלכלית בתחום של השקעות או הלוואות, תכנון פיננסי ותחומים דומים - ולדעת</t>
  </si>
  <si>
    <t>באיזה כלי להשתמש (ערך נוכחי / עתידי) כדי לפתור את הבעיה.</t>
  </si>
  <si>
    <t>מקרה 1 - חישוב החזר תקופתי בהלוואת שפיצר</t>
  </si>
  <si>
    <t>איתי מעוניין לרכוש היום מכונה לחימום נקניק. עלות המכונה 400,000 ש״ח, אך בכיסו 100,000 ש״ח בלבד.</t>
  </si>
  <si>
    <t>הוא מעוניין לממן את יתרת הסכום בהלוואה ל-3 שנים שתפרע בתשלומים חודשיים שווים, כאשר הריבית החודשית</t>
  </si>
  <si>
    <t xml:space="preserve">היא בשיעור 1%. </t>
  </si>
  <si>
    <t>א. מהו התשלום החודשי הקבוע שיצטרך איתי להחזיר בגין ההלוואה?</t>
  </si>
  <si>
    <t>ב. חשבו באופן פשטני את סך תשלומי הריבית בגין ההלוואה במידה ויטול אותה.</t>
  </si>
  <si>
    <t xml:space="preserve">סכום ההלוואה של איתי: 300,000 ש״ח = 100,000 - 400,000. </t>
  </si>
  <si>
    <t xml:space="preserve">את ההלוואה איתי מתכנן לקחת היום ולכן סכום ההלוואה הוא ערך נוכחי. </t>
  </si>
  <si>
    <t xml:space="preserve">משפט: סכום הלוואה הוא הערך הנוכחי PV של ההחזרים שלה. </t>
  </si>
  <si>
    <t>PV = 300,000</t>
  </si>
  <si>
    <t>סכום ההלוואה</t>
  </si>
  <si>
    <t>אין בעסקה תשלום / תקבול חד פעמי בסוף</t>
  </si>
  <si>
    <r>
      <t>ה-PV נרשם בסכום חיובי, הואיל וזו הלוואה ש</t>
    </r>
    <r>
      <rPr>
        <b/>
        <sz val="12"/>
        <color theme="1"/>
        <rFont val="David"/>
        <family val="2"/>
        <charset val="177"/>
      </rPr>
      <t>מקבלים</t>
    </r>
  </si>
  <si>
    <t>ה-PMT יוצא שלילי, כי משלמים אותו (כל חודש)</t>
  </si>
  <si>
    <t>תשובה סופית: 9,964 ש״ח</t>
  </si>
  <si>
    <t>כדי לדעת מה הסכום הכולל של ריבית ששילמתי לאורך חיי הלוואה אני צריך לדעת שני דברים:</t>
  </si>
  <si>
    <t>כמה כסף קיבלתי בסך הכל - סכום ההלוואה</t>
  </si>
  <si>
    <t>כמה כסף בסך הכל שילמתי</t>
  </si>
  <si>
    <t xml:space="preserve">9,964 * 36 = </t>
  </si>
  <si>
    <t>סכום הריבית הכולל ששולם - ההפרש</t>
  </si>
  <si>
    <t xml:space="preserve">358,704 - 300,000 = </t>
  </si>
  <si>
    <t>תשובה סופית: 58,704 ש״ח.</t>
  </si>
  <si>
    <t>סיכום ביניים:</t>
  </si>
  <si>
    <t>אם אני יודע סכום של הלוואה - PV, ואני יודע שהיא נפרעת בתשלומים שווים (לוח שפיצר), אז אפשר לחלץ את ה-PMT</t>
  </si>
  <si>
    <t>ולגלות את התשלום הקבוע וכן את סך התשלומים והריבית.</t>
  </si>
  <si>
    <t>מקרה 1.1 - חישוב החזר תקופתי בהלוואת שפיצר עם ״בלון״ (בומבה בסוף)</t>
  </si>
  <si>
    <t xml:space="preserve">שרון הביטה על מכונת חימום הנקניק של איתי ואמרה לו ״I'm not impressed״. </t>
  </si>
  <si>
    <t xml:space="preserve">לכן החליטה לקחת הלוואה בסך 1,000,000 ש״ח כדי לרכוש מכונה מדגם משופר. </t>
  </si>
  <si>
    <t>ההלוואה נושאת ריבית חודשית של 1%, ונפרעת בתשלומים חודשיים במשך 4 שנים. בסיום ההלוואה, ישולם התשלום</t>
  </si>
  <si>
    <t>הקבוע בתוספת סכום חד פעמי של 300,000 ש״ח.</t>
  </si>
  <si>
    <t>נדרש: מהו הסכום החודשי שתצטרך שרון להחזיר?</t>
  </si>
  <si>
    <t xml:space="preserve">תשלומים כל חודש (12 בשנה) * 4 שנים, 4 * 12 = </t>
  </si>
  <si>
    <t>התשלומים כל חודש, לכן נדרשת ריבית חודשית - נתונה</t>
  </si>
  <si>
    <t>AMRO</t>
  </si>
  <si>
    <t>בעסקה זו קיים תשלום חד פעמי בסוף, בסימן שלילי</t>
  </si>
  <si>
    <t>התשובה: 21,433.68 ש״ח</t>
  </si>
  <si>
    <t>מקרה 1.2 - חישוב החזר תקופתי בהלוואת שפיצר עם התאמות ריבית משני סוגים</t>
  </si>
  <si>
    <t xml:space="preserve">עדאן מעוניינת לרכוש מחשב חדש (המרצה גנב לה את הקודם). </t>
  </si>
  <si>
    <t xml:space="preserve">לשם כך נטלה הלוואה בסך 30,000 ש״ח לתקופה של 3 שנים. </t>
  </si>
  <si>
    <t xml:space="preserve">ההלוואה מסולקת בתשלומים חודשיים שווים (לוח שפיצר). </t>
  </si>
  <si>
    <t>הריבית השנתית בהלוואה היא 12%.</t>
  </si>
  <si>
    <t>נדרש:</t>
  </si>
  <si>
    <t>א. מהו ההחזר החודשי אם הריבית השנתית בהחזר היא ריבית ״אפקטיבית״?</t>
  </si>
  <si>
    <t>ב. כיצד תשתנה תשובתכם אם הריבית השנתית היא ריבית ״נקובה״ (המחושבת כל חודש)?</t>
  </si>
  <si>
    <t>ההלוואה מוחזרת בסדרת תשלומים חודשיים</t>
  </si>
  <si>
    <t>לכן נדרשת ריבית חודשית.</t>
  </si>
  <si>
    <r>
      <t xml:space="preserve">הריבית הנתונה היא ריבית </t>
    </r>
    <r>
      <rPr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אפקטיבית. </t>
    </r>
  </si>
  <si>
    <t xml:space="preserve">עלינו להמיר את הריבית השנתית לחודשית. </t>
  </si>
  <si>
    <t>באופן כללי - אם הריבית אפקטיבית (וגם במצבים שבהם לא אמרו לגביה דבר)</t>
  </si>
  <si>
    <t>המשמעות היא שהיא מחושבת כ״ריבית דריבית״.</t>
  </si>
  <si>
    <t xml:space="preserve">לכן ההמרה שלה תבוצע עם חזקה ולא עם חילוק פשוט. </t>
  </si>
  <si>
    <t>הריבית החודשית, כאשר נתונה</t>
  </si>
  <si>
    <t>ריבית שנתית אפקטיבית (לא נקובה)</t>
  </si>
  <si>
    <t>הריבית השנתית האפקטיבית</t>
  </si>
  <si>
    <t>רוצים חודש אחד</t>
  </si>
  <si>
    <t>מתוך שנה</t>
  </si>
  <si>
    <t>כלומר 1/12 מהתקופה</t>
  </si>
  <si>
    <t>ולכן זה מעריך החזקה</t>
  </si>
  <si>
    <t>כאן - הריבית הנתונה היא אפקטיבית (לא נקובה) שנתית בשיעור 12%, ואני רוצה להגיע לריבית חודשית (כי זו תקופת התשלום):</t>
  </si>
  <si>
    <t>(1 + 12%)^(1/12) - 1 =</t>
  </si>
  <si>
    <t xml:space="preserve">(1 + 12/100)^(1/12) - 1 = </t>
  </si>
  <si>
    <t>התשובה: יש להחזיר כל חודש 987 ש״ח.</t>
  </si>
  <si>
    <t>עד כה, בכל התרגילים שהוצגו - ההנחה היתה שהריבית מחושבת כריבית דריבית (עם חזקה) = ריבית אפקטיבית.</t>
  </si>
  <si>
    <t>המשמעות היא שהמרת הריבית מבוצעת עם כפל / חילוק פשוט, לא עם חזקה.</t>
  </si>
  <si>
    <t xml:space="preserve">ספציפית - כדי לעבור מריבית נקובה שנתית לחודשית, נחלק את הריבית ב-12. </t>
  </si>
  <si>
    <t>12%/12 = 1%</t>
  </si>
  <si>
    <r>
      <t>ב. מהו ההחזר החודשי אם הריבית השנתית בהחזר היא ריבית ״</t>
    </r>
    <r>
      <rPr>
        <b/>
        <u/>
        <sz val="12"/>
        <color theme="1"/>
        <rFont val="David"/>
        <family val="2"/>
        <charset val="177"/>
      </rPr>
      <t>נקובה</t>
    </r>
    <r>
      <rPr>
        <u/>
        <sz val="12"/>
        <color theme="1"/>
        <rFont val="David"/>
        <family val="2"/>
        <charset val="177"/>
      </rPr>
      <t>״?</t>
    </r>
  </si>
  <si>
    <r>
      <t xml:space="preserve">כאשר הריבית הנתונה היא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/ חוזית / פשוטה (שזה הנתון): </t>
    </r>
  </si>
  <si>
    <t>התשלום התקופתי: 996.43 ש״ח.</t>
  </si>
  <si>
    <t>מקרה 2 - חילוץ ריבית באחוזים המסתתרת בהסדר תשלומים:</t>
  </si>
  <si>
    <t xml:space="preserve">מוכרן סלולר מציע לכם לרכוש היום iPhone 16 Pro Max 256GB </t>
  </si>
  <si>
    <t xml:space="preserve">בתמורה ל-36 תשלומים חודשיים קבועים של 195 ש״ח כל אחד. </t>
  </si>
  <si>
    <t xml:space="preserve">לפי האתר, שווי האייפון הוא 7,000 ש״ח. </t>
  </si>
  <si>
    <t>לכאורה זו העסקה:</t>
  </si>
  <si>
    <t>בפועל, זו העסקה:</t>
  </si>
  <si>
    <t xml:space="preserve">קיבלנו שהריבית לתקופת תשלום (לחודש) בכפוף לשווי האמיתי של המוצר שמקבלים היא 1.2765%. </t>
  </si>
  <si>
    <t>כדי לתקן את הריבית לשנה, יש להשתמש בחזקה מתאימה:</t>
  </si>
  <si>
    <t xml:space="preserve">(1 + 1.2765%)^12 - 1 = </t>
  </si>
  <si>
    <t>אז מה למדנו מהתרגיל הזה?</t>
  </si>
  <si>
    <t>קודם כל - אם רוצים להמיר ריבית - בדרך כלל עושים זאת עם חזקה, למעט המקרה הספציפי שבו הריבית נקובה.</t>
  </si>
  <si>
    <t>דבר נוסף - כאשר ריבית בעסקה איננה נתונה (באחוזים) ואני רוצה לגלות אותה, חשוב מאד לשים לב לשווי שמקבלים.</t>
  </si>
  <si>
    <t xml:space="preserve">כשמדובר בהלוואה - סכום ההלוואה הוא השווי שלה. </t>
  </si>
  <si>
    <t xml:space="preserve">כשמדובר במוצר - צריך לבצע בדיקה מעמיקה לגבי השווי שלו. </t>
  </si>
  <si>
    <t>לפי האתר זה שווי האייפון</t>
  </si>
  <si>
    <t>בתכל׳ס שוויה אייפון הוא</t>
  </si>
  <si>
    <t>מקרה 2.2 - חילוץ ריבית באחוזים המסתתרת בהסדר תשלומים:</t>
  </si>
  <si>
    <t xml:space="preserve">אדי מעוניין לרכוש מרצדס חדשה. מחיר המחירון של המרצדס הוא 600,000 ש״ח. </t>
  </si>
  <si>
    <t xml:space="preserve">מציעים לאדי ״במבצע״ לשלם בעד המרצדס ב-60 תשלומים חודשיים שווים של 10,000 ש״ח ״ללא ריבית״. </t>
  </si>
  <si>
    <t>ידוע לכם שאם תתעקשו לשלם במזומן, תוכלו לקבל הנחה בשיעור של עד 10% ממחיר המחירון.</t>
  </si>
  <si>
    <t>מספר התשלומים הקבועים בהסדר</t>
  </si>
  <si>
    <t>סכום ההלוואה / שווי המוצר המתקבל</t>
  </si>
  <si>
    <t>סכום חד פעמי שמשלמים או מקבלים ״בסוף״</t>
  </si>
  <si>
    <t>כאשר רוכשים מוצר בתשלומים, ה-PV הוא שווי המוצר הנרכש היום</t>
  </si>
  <si>
    <t>שווי המוצר הנרכש = כמה נשלם בעדו / כמה הוא שווה אם משלמים עליו</t>
  </si>
  <si>
    <t>במזומן, מיד, היום</t>
  </si>
  <si>
    <t xml:space="preserve">המחיר במזומן כאן (שהוא השווי) הוא 600,000 בניכוי הנחה של 10%, </t>
  </si>
  <si>
    <t>כלומר:</t>
  </si>
  <si>
    <t>600,000 * (1 - 10%) = 540,000</t>
  </si>
  <si>
    <t>וזה הסכום של PV</t>
  </si>
  <si>
    <t>הריבית התקופתית - תשלום כל חודש, לכן זו ריבית לחודש</t>
  </si>
  <si>
    <r>
      <t xml:space="preserve">בנתונים אלו,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בהסדר?</t>
    </r>
  </si>
  <si>
    <t>המרת הריבית החודשית לשנתית:</t>
  </si>
  <si>
    <t xml:space="preserve">(1 + 0.35214%)^12 - 1 = </t>
  </si>
  <si>
    <t>התשובה הסופית - ריבית שנתית</t>
  </si>
  <si>
    <t>אחת ועוד הריבית החודשית</t>
  </si>
  <si>
    <t>בחזקת 12, כדי להמיר מחודש לשנה</t>
  </si>
  <si>
    <t>מקרה 2.3 - חילוץ ריבית באחוזים המסתתרת בהסדר תשלומים:</t>
  </si>
  <si>
    <t>פדילה מעוניין לרכוש מכונה אוטומטית שיודעת לחמם נקניק ולהכניס אותו לפיתה.</t>
  </si>
  <si>
    <t>לפי מחירון היבואן שמפורסם באינטרנט, עלות המכונה היא 500,000 ש״ח.</t>
  </si>
  <si>
    <t>יחד עם זאת, כאשר פדילה התקשר ליבואן ושאל אותו בנושא, אמר לו היבואן ״אל תדאג. אם אתה רציני - נסתדר.</t>
  </si>
  <si>
    <t xml:space="preserve">אם אתה מביא איתך כסף, נוריד לך בכיף איזה 5% ככה שתרגיש טוב״. </t>
  </si>
  <si>
    <t xml:space="preserve">פדילה התקשה להשיג את הסכום הכולל וחזר ליבואן. </t>
  </si>
  <si>
    <t>היבואן אמר לו ״אין בעיה, בוא נפרוס לך את 500,000 הש״ח ל-10 תשלומים שיבוצעו בתום כל רבעון בסך 50,000 ש״ח</t>
  </si>
  <si>
    <t>כל אחד״.</t>
  </si>
  <si>
    <t>נדרש: מהי הריבית השנתית המגולמת בהסדר התשלומים?</t>
  </si>
  <si>
    <t>=500,000 * (1 - 5%)</t>
  </si>
  <si>
    <t>ה-%I הוא הריבית לתקופת תשלום: כאן - רבעון</t>
  </si>
  <si>
    <t>כעת עלינו לקחת ריבית רבעונית זו ולתרגם אותה מרבעון לשנה:</t>
  </si>
  <si>
    <t xml:space="preserve">(1 + 0.94365%)^4 - 1 = </t>
  </si>
  <si>
    <t xml:space="preserve">אחת ועוד הריבית </t>
  </si>
  <si>
    <t>שהיא ריבית לרבעון</t>
  </si>
  <si>
    <t>המרה של רבעון</t>
  </si>
  <si>
    <t>לשנה שלמה</t>
  </si>
  <si>
    <t>בחזקת 4</t>
  </si>
  <si>
    <t>מקרה 2.4 - חילוץ ריבית באחוזים המסתתרת בהסדר תשלומים:</t>
  </si>
  <si>
    <t>פדילה מעוניין לרכוש עוד מכונה לחימום נקניק לפי הפרטים להלן:</t>
  </si>
  <si>
    <t>המחיר הקטלוגי של המכונה: 500,000 ש״ח.</t>
  </si>
  <si>
    <t>אם קונים אותה במזומן, מקבלים הנחה של 40,000 ש״ח.</t>
  </si>
  <si>
    <t>אפשר לרכוש את המכונה ב:</t>
  </si>
  <si>
    <t>א. 10 תשלומים חודשיים שווים של 50,000 ש״ח כל אחד.</t>
  </si>
  <si>
    <t>ב. 20 תשלומים חודשיים שווים של 26,000 ש״ח כל אחד.</t>
  </si>
  <si>
    <t xml:space="preserve">נדרש: חשבו את הריבית השנתית בכל מסלול. </t>
  </si>
  <si>
    <t>המרה לשנה:</t>
  </si>
  <si>
    <t>מפגש 7 - 15/12/2024 - יסודות המימון א - פתרון תרגילים מרכזיים מורכבים מתרגיל בית 1 - והמשך יישומי PV</t>
  </si>
  <si>
    <t>נתחיל מכמה תרגילים בתרגיל הגשה 1:</t>
  </si>
  <si>
    <t xml:space="preserve">ערך עתידי - רוצים לדעת מהו הסכום בעתיד, עובדים מההתחלה לסוף. </t>
  </si>
  <si>
    <t>Solve</t>
  </si>
  <si>
    <t>שמונה שנים</t>
  </si>
  <si>
    <t>עד כה: 12 שנה</t>
  </si>
  <si>
    <t>השלמה מ-12</t>
  </si>
  <si>
    <t>ל-20</t>
  </si>
  <si>
    <t>הסכום הכולל שיעמוד לרשותו של רפי לופו בתום 20 השנים הוא:</t>
  </si>
  <si>
    <t>חסכון ללא ריבית</t>
  </si>
  <si>
    <t>סכום תשלום * מס׳ תשלומים</t>
  </si>
  <si>
    <t>מפקידים הנצבר</t>
  </si>
  <si>
    <t>צריך לייצר בעד השנה השניה שלב חישוב נוסף</t>
  </si>
  <si>
    <t xml:space="preserve">כי אחריה ייעצרו / ייפסקו ה-PMTs החודשיים </t>
  </si>
  <si>
    <r>
      <t xml:space="preserve">וסכום </t>
    </r>
    <r>
      <rPr>
        <b/>
        <sz val="9"/>
        <color theme="1"/>
        <rFont val="David"/>
        <family val="2"/>
        <charset val="177"/>
      </rPr>
      <t>חודשי</t>
    </r>
  </si>
  <si>
    <t>ההפקדות חודשיות, ולכן גם הריבית חייבת להיות מומרת משנה לחודש:</t>
  </si>
  <si>
    <t xml:space="preserve">(1 + 12%)^(1/12) - 1 = </t>
  </si>
  <si>
    <r>
      <t xml:space="preserve">שנה </t>
    </r>
    <r>
      <rPr>
        <b/>
        <sz val="9"/>
        <color theme="1"/>
        <rFont val="David"/>
        <family val="2"/>
        <charset val="177"/>
      </rPr>
      <t>ראשונה</t>
    </r>
  </si>
  <si>
    <r>
      <t xml:space="preserve">שנה </t>
    </r>
    <r>
      <rPr>
        <b/>
        <sz val="9"/>
        <color theme="1"/>
        <rFont val="David"/>
        <family val="2"/>
        <charset val="177"/>
      </rPr>
      <t>שניה</t>
    </r>
  </si>
  <si>
    <t>צבירת ריבית</t>
  </si>
  <si>
    <t>לפני שינויה</t>
  </si>
  <si>
    <t>לפני סדרה נוספת</t>
  </si>
  <si>
    <r>
      <t xml:space="preserve">שנה </t>
    </r>
    <r>
      <rPr>
        <b/>
        <sz val="9"/>
        <color theme="1"/>
        <rFont val="David"/>
        <family val="2"/>
        <charset val="177"/>
      </rPr>
      <t>שלישית</t>
    </r>
  </si>
  <si>
    <t>ואחרונה</t>
  </si>
  <si>
    <t>הפקדה כל רבעון</t>
  </si>
  <si>
    <t>ההפקדות כל רבעון</t>
  </si>
  <si>
    <t>ולכן הריבית רבעונית</t>
  </si>
  <si>
    <t xml:space="preserve">(1 + 10%)^(1/4) - 1 = </t>
  </si>
  <si>
    <t xml:space="preserve">תשובה סופית לשאלה 13: הסכום הכולל שיעמוד לרשותו של חרטבוני בחלוף 8 שנים מהיום הוא 191,718 ש״ח. </t>
  </si>
  <si>
    <t>מפקיד היום</t>
  </si>
  <si>
    <t>סכום בודד</t>
  </si>
  <si>
    <t>וסדרה ל-10 שנים</t>
  </si>
  <si>
    <t>תוספת חד</t>
  </si>
  <si>
    <t>פעמית והמשך</t>
  </si>
  <si>
    <t>הפקדות</t>
  </si>
  <si>
    <t>כאשר ישנה הפרעה</t>
  </si>
  <si>
    <t>קרי תוספת סכום יחיד</t>
  </si>
  <si>
    <t>ניקח את ה-FV</t>
  </si>
  <si>
    <t>של השלב הקודם,</t>
  </si>
  <si>
    <t>נוסיף לו את הסכום החד</t>
  </si>
  <si>
    <t>פעמי שמפקידים בנוסף,</t>
  </si>
  <si>
    <t>וכל הסכום הזה יהווה PV (בסימן שלילי):</t>
  </si>
  <si>
    <t>סך הצבירה בשלב ראשון:</t>
  </si>
  <si>
    <t>והפקדנו עוד (חד פעמי):</t>
  </si>
  <si>
    <t>סך הכל הפקדה בשלב 2:</t>
  </si>
  <si>
    <t>בסימן שלילי ל-PV של שלב 2</t>
  </si>
  <si>
    <t>תשובתנו הסופית:</t>
  </si>
  <si>
    <t>הסכום הכולל</t>
  </si>
  <si>
    <t>אשר יצטבר</t>
  </si>
  <si>
    <t>לפרופ׳ שביט בחסכון</t>
  </si>
  <si>
    <t>הוא כ-5,230,643 ש״ח.</t>
  </si>
  <si>
    <t>המרת הריבית משנה לחודש:</t>
  </si>
  <si>
    <t>((1+12%)^(1/12)-1)*100</t>
  </si>
  <si>
    <t>PV=-200,000</t>
  </si>
  <si>
    <t>FV = ?</t>
  </si>
  <si>
    <t>pmt = -4,000</t>
  </si>
  <si>
    <t>שינוי ריבית</t>
  </si>
  <si>
    <t>ראשונות</t>
  </si>
  <si>
    <t>סכום יחיד</t>
  </si>
  <si>
    <t>מתחילה</t>
  </si>
  <si>
    <t>סדרה</t>
  </si>
  <si>
    <t>pmt=0</t>
  </si>
  <si>
    <t>שנה מתום 2</t>
  </si>
  <si>
    <t>לתום 3</t>
  </si>
  <si>
    <r>
      <t xml:space="preserve">סדרה </t>
    </r>
    <r>
      <rPr>
        <b/>
        <sz val="9"/>
        <color theme="1"/>
        <rFont val="David"/>
        <family val="2"/>
        <charset val="177"/>
      </rPr>
      <t>רבעונית</t>
    </r>
    <r>
      <rPr>
        <sz val="9"/>
        <color theme="1"/>
        <rFont val="David"/>
        <family val="2"/>
        <charset val="177"/>
      </rPr>
      <t xml:space="preserve"> במשך</t>
    </r>
  </si>
  <si>
    <t>תוספת</t>
  </si>
  <si>
    <t xml:space="preserve">חד פעמית </t>
  </si>
  <si>
    <t>והמשך סדרה לתום 4</t>
  </si>
  <si>
    <t>התחשבות</t>
  </si>
  <si>
    <t>בשינוי הריבית</t>
  </si>
  <si>
    <t>שנים 5,6,7</t>
  </si>
  <si>
    <t>והמשך שנים 8,9,10</t>
  </si>
  <si>
    <t xml:space="preserve">מסקנה: סך הצבירה לתום השנה ה-10: 804,128 ש״ח. </t>
  </si>
  <si>
    <t>הפקדות כל</t>
  </si>
  <si>
    <t>חודש - שנה</t>
  </si>
  <si>
    <t xml:space="preserve">הפקדה כל </t>
  </si>
  <si>
    <t>חודש, שנתיים</t>
  </si>
  <si>
    <t>מתום 3 עד 5</t>
  </si>
  <si>
    <t>הסכום הכולל שיעמוד לרשותה</t>
  </si>
  <si>
    <t>של קוקילידה בתום השנה ה-5</t>
  </si>
  <si>
    <t xml:space="preserve">הוא: 228,168 ש״ח. </t>
  </si>
  <si>
    <t>שאלה זו דורשת מאיתנו את %I ולא את ה-FV, כמו כן, יש לוודא לאיזו תקופה ה-%I כי ביקשו שנבטא אותו במונחים שנתיים.</t>
  </si>
  <si>
    <t>&gt;&gt;&gt;&gt;&gt;&gt;&gt;&gt;</t>
  </si>
  <si>
    <t>ריבית שמחלצים מנתוני סדרה היא ריבית לתקופת תשלום</t>
  </si>
  <si>
    <t>בסדרה. כאן נתון שמפקידים כל חודש, לכן תוצאת</t>
  </si>
  <si>
    <t xml:space="preserve">הריבית חודשית. </t>
  </si>
  <si>
    <t>כדי להמיר אותה לשנה בהתאם לנדרש:</t>
  </si>
  <si>
    <t xml:space="preserve">(1 + 2.7599%)^12 - 1 = </t>
  </si>
  <si>
    <t xml:space="preserve">כפתיקאס הפקיד לתוכנית חסכון הנושאת ריבית שנתית בשיעור 38.64%. </t>
  </si>
  <si>
    <t xml:space="preserve">במונחים שנתיים = ריבית לשנה. </t>
  </si>
  <si>
    <t>חלק א של המפגש - תרגילים נבחרים בפתרון שאלה 1</t>
  </si>
  <si>
    <t>חלק ב של המפגש - המשך יישומי ערך נוכחי</t>
  </si>
  <si>
    <t>במפגש הקודם התחלנו לבצע יישומי ערך נוכחי.</t>
  </si>
  <si>
    <t>בגדול - המשמעות היא - כיצד חישובי ערך נוכחי וחילוצים כאשר הערך הנוכחי נתון מסייעים לפתור בעיות כלכליות.</t>
  </si>
  <si>
    <t>נבצע בתור התחלה מיפוי של סוגי הבעיות והיישומים שהצגנו:</t>
  </si>
  <si>
    <t>מקרה</t>
  </si>
  <si>
    <t>תיאור</t>
  </si>
  <si>
    <t>יישום</t>
  </si>
  <si>
    <t>חישוב החזר תקופתי בהלוואת שפיצר (החזרים שווים)</t>
  </si>
  <si>
    <t>ה-PV הוא סכום ההלוואה, ומחלצים PMT</t>
  </si>
  <si>
    <t>חישוב החזר תקופתי בשפיצר, עם החזר חד פעמי נוסף בסוף</t>
  </si>
  <si>
    <t>ה-PV הוא סכום ההלוואה,ה-FV  הוא התשלום בסוף, ומחלצים PMT</t>
  </si>
  <si>
    <t>חילוץ ריבית שמסתתרת בהסדר תשלומים לרכישת מוצר</t>
  </si>
  <si>
    <t>ה-PV הוא שווי המוצר, בניכוי הנחת מזומן, ה-PMT נתון, מחלצים ריבית</t>
  </si>
  <si>
    <t>כעת, נבצע מספר יישומים נוספים:</t>
  </si>
  <si>
    <t xml:space="preserve">יוסי זקוק למכונה לחימום נקניק לעסק. </t>
  </si>
  <si>
    <t xml:space="preserve">המכונה תשרת אותו במשך 5 שנים. </t>
  </si>
  <si>
    <t>באפשרותו לרכוש את המכונה ולשלם בעדה ב-20 תשלומים חודשיים שווים בסך 2,000 ש״ח כל אחד.</t>
  </si>
  <si>
    <t xml:space="preserve">לחילופין, הוא יכול לשכור את המכונה ל-5 שנים בתמורה לתשלומים חודשיים שווים לאורך כל תקופת ההסדר - </t>
  </si>
  <si>
    <t xml:space="preserve">כלומר 60 תשלומים - בסך 800 ש״ח כל אחד. </t>
  </si>
  <si>
    <t>נדרש: בהנחה שהריבית של יוסי בעסק היא 12.6825% לשנה, מהי החלופה שאותה יעדיף יוסי לשם מימון המכונה?</t>
  </si>
  <si>
    <t>כאשר אנו יכולים לבחור בין חלופות לרכישת מוצר, עלינו להעדיף את החלופה הזולה יותר.</t>
  </si>
  <si>
    <t>החלופה הזולה יותר - בהתחשב בהשפעות ריבית וזמן - זו החלופה שבה הערך הנוכחי נמוך יותר.</t>
  </si>
  <si>
    <t>רכש מכונה</t>
  </si>
  <si>
    <t>שכירות מכונה</t>
  </si>
  <si>
    <t>המסקנה: מבחינה פיננסית טהורה - עדיף לשכור מכונה מאשר לרכוש אותה.</t>
  </si>
  <si>
    <t xml:space="preserve">שכירות מכונה עולה במונחים של ערך נוכחי כ-35,964 ש״ח, וזה יותר זול מאשר לקנות אותה בערך נוכחי של 36,091 ש״ח.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</si>
  <si>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=((1+12.6825%)^(1/12)-1)*100</t>
    </r>
  </si>
  <si>
    <t>יישום 4 - בחירה בין חלופות לרכישת מוצר על בסיס הערך הנוכחי - ״לפי ה-PV הנמוך״</t>
  </si>
  <si>
    <t>יישום 4 - שאלה נוספת -  בחירה בין חלופות למכירת מוצר / מתן שירות על בסיס הערך הנוכחי -</t>
  </si>
  <si>
    <t xml:space="preserve">עידו שוקל לספק שירותי חימום נקניק למרכז האקדמי למשפט ועסקים ברמת גן. </t>
  </si>
  <si>
    <t>המרכז האקדמי הציע לעידו לבחור בחלופת קבלת ההכנסות מבחינתו:</t>
  </si>
  <si>
    <t xml:space="preserve">חלופה 1: לקבל 4,000 ש״ח בתום כל חודש במשך 3 שנים. </t>
  </si>
  <si>
    <t xml:space="preserve">חלופה 2: לקבל 2,000 ש״ח בתום כל חודש במשך 6.5 שנים. </t>
  </si>
  <si>
    <t xml:space="preserve">חלופה 3: לקבל 100,000 ש״ח בעוד שנה. </t>
  </si>
  <si>
    <t>נדרש: בהנחה שהריבית החודשית של עידו היא 0.5%, איזו חלופה הוא יעדיף?</t>
  </si>
  <si>
    <t>גם הפעם, צריך לחשב ערך נוכחי לכל חלופה.</t>
  </si>
  <si>
    <t>אבל הואיל ואלו חלופות שמקבלים, ולא משלמים - רוצים את הערך הגבוה ביותר (בערך מוחלט), ולא את הערך</t>
  </si>
  <si>
    <t xml:space="preserve">הנמוך ביותר. </t>
  </si>
  <si>
    <t>שש וחצי שנים</t>
  </si>
  <si>
    <t>סכום עוד שנה</t>
  </si>
  <si>
    <t>חלופה 1</t>
  </si>
  <si>
    <t>חלופה 2</t>
  </si>
  <si>
    <t>חלופה 3</t>
  </si>
  <si>
    <t xml:space="preserve"> התוצאה אמנם מתקבלת בערך שלילי</t>
  </si>
  <si>
    <t>כי המחשבון הפיננסי מפרש זאת בתור ״הסכום ששווה לשלם בעד העסקה״</t>
  </si>
  <si>
    <t>אבל בתכל׳ס, זה ערך חיובי</t>
  </si>
  <si>
    <t>כלומר נתבסס על הערך מוחלט לדירוג החלופות</t>
  </si>
  <si>
    <t>שווי חלופה 1 (ערך מוחלט):</t>
  </si>
  <si>
    <t>שווי חלופה 2 (ערך מוחלט):</t>
  </si>
  <si>
    <t>שווי חלופה 3 (ערך מוחלט):</t>
  </si>
  <si>
    <t>יישום מס׳ 5 - תכנון פיננסי - הבסיס ל״חופש כלכלי״</t>
  </si>
  <si>
    <t>במקרים רבים, המטרה היא לחסוך לעתיד (FV) מתוך מטרה למשוך סדרת תשלומים ולא סכום אחד.</t>
  </si>
  <si>
    <t xml:space="preserve">למשל בפנסיה - אני מפריש כל חודש, ואת הכסף אקבל בתשלומים. </t>
  </si>
  <si>
    <t>במקרים רבים, תעניין אותנו השאלה - כמה צריך לחסוך כל חודש, כדי להבטיח לעצמנו קצבה / הכנסה</t>
  </si>
  <si>
    <t xml:space="preserve">קבועה מספקת בעתיד. </t>
  </si>
  <si>
    <t xml:space="preserve">בכך עוסק הנושא של תכנון פיננסי. </t>
  </si>
  <si>
    <t>נסח השאלה:</t>
  </si>
  <si>
    <t xml:space="preserve">עידו בן 22 היום. בכוונתו להפקיד בתום כל חודש סכום קבוע כאשר ההפקדה האחרונה תבוצע כשיהיה בן 45. </t>
  </si>
  <si>
    <t xml:space="preserve">לאחר מכן, בתום כל חודש, ועד גיל 120 ברצונו למשוך סכום קבוע של 15,000 ש״ח לחודש. </t>
  </si>
  <si>
    <t>בהנחה שהריבית החודשית בהפקדות של עידו (בפנסיה) היא 0.8% לחודש, מהו הסכום החודשי שיאפשר לעידו</t>
  </si>
  <si>
    <t>להגשים את חלומו?</t>
  </si>
  <si>
    <t>גיל 22</t>
  </si>
  <si>
    <t>גיל 45</t>
  </si>
  <si>
    <t>גיל 120</t>
  </si>
  <si>
    <t>תשובה סופית</t>
  </si>
  <si>
    <t>נחזק זאת במפגש הבא, אבל בינתיים בואו נסדר את תהליך העבודה:</t>
  </si>
  <si>
    <t xml:space="preserve">חישבנו PV לסכומי ההכנסה. כך קיבלנו את הסכום שצריך להצטבר ערב הפרישה. </t>
  </si>
  <si>
    <t xml:space="preserve">עברנו לחישוב של ההפקדות, ה-PV הפך ל-FV (בסימן הפוך) וחילצנו את סכום ההפקדה החודשי הנדרש. </t>
  </si>
  <si>
    <t>מפגש 8 - יסודות המימון א - חישובי ריבית</t>
  </si>
  <si>
    <t xml:space="preserve">עד כה, ברוב העסקאות שביצענו הריבית היתה נתונה. אולי היינו צריכים להתאים אותה - משנה לחודש וכיו״ב, </t>
  </si>
  <si>
    <t xml:space="preserve">אך ברוב המקרים קיבלתי את נתוניה כחלק מהעסקה. </t>
  </si>
  <si>
    <t>אם הנתונים בעסקה הם נתונים מורכבים, כוללים ריבית דריבית, כוללים עמלות, כוללים ריבית מראש, איך נצליח</t>
  </si>
  <si>
    <t>להתייחס לכל הנתונים האלו והשפעתם על הריבית הכוללת בעסקה?</t>
  </si>
  <si>
    <t>המושג: ריבית אפקטיבית</t>
  </si>
  <si>
    <t>באופן כללי - ריבית אפקטיבית היא הריבית ה״אמיתית״ או ה״כוללת״ בעסקה.</t>
  </si>
  <si>
    <t>הריבית בעסקה - היא לפחות בעסקאות פשוטות - היחס שבין סכום הריבית (בש״ח) לבין קרן ההשקעה</t>
  </si>
  <si>
    <t>או ההלוואה.</t>
  </si>
  <si>
    <t>למה הכוונה? אם למשל לקחתי הלוואה של 100 ש״ח לשנה. ובחלוף שנה אני מחזיר 112 ש״ח.</t>
  </si>
  <si>
    <t>מה תהיה הריבית באחוזים לשנה בעסקה הזו? התשובה: 12%. מדוע? הריבית 12 ש״ח (אתה מחזיר 12 מעל הקרן)</t>
  </si>
  <si>
    <t xml:space="preserve">ואם אתה מחלק את הריבית הזו בקרן אתה מקבל את הריבית באחוזים 12% = 100 / 12. </t>
  </si>
  <si>
    <t>כוללת</t>
  </si>
  <si>
    <t>אמיתית</t>
  </si>
  <si>
    <t>כולל כל ההשפעות</t>
  </si>
  <si>
    <r>
      <t xml:space="preserve">ריבית </t>
    </r>
    <r>
      <rPr>
        <b/>
        <sz val="12"/>
        <color theme="1"/>
        <rFont val="David"/>
        <family val="2"/>
        <charset val="177"/>
      </rPr>
      <t>אפקטיבית</t>
    </r>
  </si>
  <si>
    <t>המקרה הראשון - חישוב ריבית אפקטיבית כאשר הריבית הנקובה נתונה והיא מחושבת כריבית דריבית</t>
  </si>
  <si>
    <t>בשלב זה נתעלם מריביות מראש ועמלות.</t>
  </si>
  <si>
    <t xml:space="preserve">הסבר קצר: ריבית דריבית היא חישוב שבמסגרתו עוצרים במהלך התקופה, מוסיפים את הריבית שנצברה לקרן, ועל </t>
  </si>
  <si>
    <t xml:space="preserve">הסכום הכולל עם הריבית - מחשבים ריבית בתקופות הבאות. </t>
  </si>
  <si>
    <t>משה הפקיד בפקדון סכום של 100 ש״ח לשנה.</t>
  </si>
  <si>
    <t xml:space="preserve">א. מהו הסכום הכולל שמשה יקבל בתום השנה. </t>
  </si>
  <si>
    <t>ב. מהי הריבית האפקטיבית השנתית.</t>
  </si>
  <si>
    <t>בחישובי ריבית אפקטיבית, בדרך כלל נעבוד
מתמטית ולא במחשבון פיננסי, אלא אם זו סדרה</t>
  </si>
  <si>
    <t>הפקדה</t>
  </si>
  <si>
    <t>כאשר:</t>
  </si>
  <si>
    <t>ריבית חוזית (Contract)</t>
  </si>
  <si>
    <t>נקראת גם ריבית נקובה</t>
  </si>
  <si>
    <r>
      <t xml:space="preserve">הריבית השנתית הנקובה היא 10%, והיא </t>
    </r>
    <r>
      <rPr>
        <b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</si>
  <si>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>שנה</t>
  </si>
  <si>
    <t xml:space="preserve">הואיל ונתון שהריבית מחושבת כל רבעון, אחרי רבעון אחד עוצרים, ומוסיפים לקרן ההשקעה 100 את הריבית היחסית </t>
  </si>
  <si>
    <t>שנצברה עבור הרבעון: 2.5% = 4 / 10%</t>
  </si>
  <si>
    <t xml:space="preserve">אחרי רבעון נוסף (בתום הרבעון השני, מוצג על הציר - תום חצי שנה) - כל הסכום שנצבר בתום הרבעון הראשון </t>
  </si>
  <si>
    <t>צובר ריבית תקופה נוספת:</t>
  </si>
  <si>
    <r>
      <t xml:space="preserve">בחלוף רבעון אחד כזה הסכום הכולל שנצבר כולל את כל הקרן 100 בתוספת הריבית, ובחישוב מתמטי: </t>
    </r>
    <r>
      <rPr>
        <sz val="12"/>
        <color rgb="FFFF0000"/>
        <rFont val="David"/>
        <family val="2"/>
        <charset val="177"/>
      </rPr>
      <t>(2.5% + 1) * 100</t>
    </r>
  </si>
  <si>
    <r>
      <rPr>
        <sz val="12"/>
        <color rgb="FFFF0000"/>
        <rFont val="David"/>
        <family val="2"/>
        <charset val="177"/>
      </rPr>
      <t>100 * (1 + 2.5%)</t>
    </r>
    <r>
      <rPr>
        <sz val="12"/>
        <color theme="1"/>
        <rFont val="David"/>
        <family val="2"/>
        <charset val="177"/>
      </rPr>
      <t xml:space="preserve"> * (1 + 2.5%) = 100 * (1 + 2.5%)^2</t>
    </r>
  </si>
  <si>
    <t>התהליך הזה, של מכפלה נוספת ב-1 ועוד הריבית על כל תקופה שחולפת, לפי הריבית היחסית, הוא התהליך שנובע</t>
  </si>
  <si>
    <t xml:space="preserve">מחישוב ריבית דריבית. </t>
  </si>
  <si>
    <t>בתום השנה (בתום 4 תקופות חישוב ריבית של רבעון) הסכום הכולל שנצבר:</t>
  </si>
  <si>
    <t xml:space="preserve">100 * (1 + 2.5%)^4 = </t>
  </si>
  <si>
    <t>ולכן לסיכום:</t>
  </si>
  <si>
    <t>אקבל</t>
  </si>
  <si>
    <t>הפקדתי</t>
  </si>
  <si>
    <t>ריבית ש״ח</t>
  </si>
  <si>
    <t xml:space="preserve">110.3812891 - 100 = </t>
  </si>
  <si>
    <t>הריבית האפקטיבית בעסקאות פשוטות היא היחס בין הריבית בש״ח לקרן:</t>
  </si>
  <si>
    <t xml:space="preserve">10.3812891 / 100 = </t>
  </si>
  <si>
    <t>דרך נוספת לחשב ריבית אפקטיבית זו היא על בסיס - היחס בין סך התקבול לסך התשלום (קרן) פחות 1:</t>
  </si>
  <si>
    <t>דרך קיצור לפתרון שאלה כזו, ללא ציר שמתוכה נדע לחלץ את הנוסחה:</t>
  </si>
  <si>
    <t>הריבית האפקטיבית</t>
  </si>
  <si>
    <t>קרן, שצברה ריבית דריבית</t>
  </si>
  <si>
    <t xml:space="preserve">צבירת ריבית דריבית </t>
  </si>
  <si>
    <t>במשך 4 רבעונים</t>
  </si>
  <si>
    <t>נוריד מהסכום הכולל שנצבר</t>
  </si>
  <si>
    <t>את הקרן</t>
  </si>
  <si>
    <t>חלקי הקרן</t>
  </si>
  <si>
    <t>הנוסחה למעלה היא כזו שניתן לצמצם</t>
  </si>
  <si>
    <t>את כל הקרן מאגפיה</t>
  </si>
  <si>
    <t>וכך מקבלים:</t>
  </si>
  <si>
    <t>וכאשר נרצה להכליל את הנוסחה ולייצר מבנה עקבי לעבוד לפיו:</t>
  </si>
  <si>
    <t>ריבית אפקטיבית (effective) / כוללת שאותה רוצים לחשב</t>
  </si>
  <si>
    <t>ריבית נקובה / חוזית (contract) בהסכם</t>
  </si>
  <si>
    <t>מספר תקופות החישוב (number) בתקופת הריבית הנקובה (contract)</t>
  </si>
  <si>
    <t>מספר תקופות החישוב (number) בתקופה הכוללת הנדרשת (required)</t>
  </si>
  <si>
    <t>הנדרש</t>
  </si>
  <si>
    <t>הנתון, במונה</t>
  </si>
  <si>
    <t>כמה תקופות חישוב (רבעונים)</t>
  </si>
  <si>
    <t>קיימים בתקופת הריבית הנקובה השנתית?</t>
  </si>
  <si>
    <t>התשובה: 4</t>
  </si>
  <si>
    <t>קיימים בתקופת הריבית הנדרשת</t>
  </si>
  <si>
    <t>כאן דרשו ריבית לשנה, לכן - 4 רבעונים בשנה</t>
  </si>
  <si>
    <t>תרגיל 1 - ריבית דריבית - מוארך למטרות הסבר</t>
  </si>
  <si>
    <t>תרגיל 2 - ריבית דריבית</t>
  </si>
  <si>
    <t>חשבו את הריבית האפקטיבית בכל אחד מהמקרים הבאים:</t>
  </si>
  <si>
    <t>א. מהי הריבית האפקטיבית לשנה, אם הריבית הנקובה השנתית 12% מחושבת כל חודש?</t>
  </si>
  <si>
    <t>re = (1 + 12%/12)^12 - 1 = 12.6825%</t>
  </si>
  <si>
    <r>
      <t xml:space="preserve">ב. מהי </t>
    </r>
    <r>
      <rPr>
        <sz val="12"/>
        <color rgb="FFFF0000"/>
        <rFont val="David"/>
        <family val="2"/>
        <charset val="177"/>
      </rPr>
      <t>הריבית האפקטיבית לשנתיים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12%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</si>
  <si>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+ 12%/12)^24 - 1 = </t>
  </si>
  <si>
    <r>
      <t xml:space="preserve">ג. מהי </t>
    </r>
    <r>
      <rPr>
        <sz val="12"/>
        <color rgb="FFFF0000"/>
        <rFont val="David"/>
        <family val="2"/>
        <charset val="177"/>
      </rPr>
      <t>הריבית האפקטיבית לשנה וחצי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theme="1"/>
        <rFont val="David"/>
        <family val="2"/>
        <charset val="177"/>
      </rPr>
      <t>?</t>
    </r>
  </si>
  <si>
    <r>
      <t xml:space="preserve">ד. מהי </t>
    </r>
    <r>
      <rPr>
        <sz val="12"/>
        <color rgb="FFFF0000"/>
        <rFont val="David"/>
        <family val="2"/>
        <charset val="177"/>
      </rPr>
      <t>הריבית האפקטיבית לשנה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החצי שנתית הנקובה</t>
    </r>
    <r>
      <rPr>
        <sz val="12"/>
        <color theme="1"/>
        <rFont val="David"/>
        <family val="2"/>
        <charset val="177"/>
      </rPr>
      <t xml:space="preserve"> 6%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</t>
    </r>
  </si>
  <si>
    <r>
      <t xml:space="preserve">ה. מהי </t>
    </r>
    <r>
      <rPr>
        <sz val="12"/>
        <color rgb="FFFF0000"/>
        <rFont val="David"/>
        <family val="2"/>
        <charset val="177"/>
      </rPr>
      <t>הריבית האפקטיבית ל-3 שנים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הרבעונית הנקובה</t>
    </r>
    <r>
      <rPr>
        <sz val="12"/>
        <color theme="1"/>
        <rFont val="David"/>
        <family val="2"/>
        <charset val="177"/>
      </rPr>
      <t xml:space="preserve"> 3%,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</si>
  <si>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+ 3%/3)^36 - 1 = </t>
  </si>
  <si>
    <t xml:space="preserve">re = (1 + 6%/2)^4 - 1 = </t>
  </si>
  <si>
    <t xml:space="preserve">re = (1 + 10%/2)^3 - 1 = </t>
  </si>
  <si>
    <t>תרגיל 3 - תרגול כיתה עצמאי בנושא ריבית דריבית</t>
  </si>
  <si>
    <t>עידו מתלבט בין תוכניות החסכון הבאות:</t>
  </si>
  <si>
    <t>נדרש: חשבו את הריבית האפקטיבית הכוללת בכל אחת מתוכניות החסכון (בתכנית א - ריבית אפקטיבית לשנה,</t>
  </si>
  <si>
    <t xml:space="preserve">בתכנית ב - ריבית אפקטיבית ל-8 חודשים, וכן הלאה). </t>
  </si>
  <si>
    <t>תרגיל 4 - ברמת מבחן בנושא ריבית דריבית</t>
  </si>
  <si>
    <t>קוקי שוקל לקחת הלוואה ל-4 שנים. מציעים לו את מסלולי ההלוואה הבאים:</t>
  </si>
  <si>
    <r>
      <t xml:space="preserve">א. </t>
    </r>
    <r>
      <rPr>
        <sz val="12"/>
        <color rgb="FFFF0000"/>
        <rFont val="David"/>
        <family val="2"/>
        <charset val="177"/>
      </rPr>
      <t>הפקדה לשנה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</si>
  <si>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</t>
    </r>
    <r>
      <rPr>
        <sz val="12"/>
        <color rgb="FFFF0000"/>
        <rFont val="David"/>
        <family val="2"/>
        <charset val="177"/>
      </rPr>
      <t>הפקדה ל-8 חודשים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12%, </t>
    </r>
    <r>
      <rPr>
        <u/>
        <sz val="12"/>
        <color rgb="FFFF0000"/>
        <rFont val="David"/>
        <family val="2"/>
        <charset val="177"/>
      </rPr>
      <t>המחושבת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</si>
  <si>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sz val="12"/>
        <color rgb="FFFF0000"/>
        <rFont val="David"/>
        <family val="2"/>
        <charset val="177"/>
      </rPr>
      <t>הפקדה לשנתיים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8%,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>.</t>
    </r>
  </si>
  <si>
    <t xml:space="preserve">(1 + 10%/4)^4 - 1 = </t>
  </si>
  <si>
    <t xml:space="preserve">(1 + 12%/12)^8 - 1 = </t>
  </si>
  <si>
    <t xml:space="preserve">(1 + 8%/4)^8 - 1 = </t>
  </si>
  <si>
    <r>
      <t xml:space="preserve">ד. </t>
    </r>
    <r>
      <rPr>
        <sz val="12"/>
        <color rgb="FFFF0000"/>
        <rFont val="David"/>
        <family val="2"/>
        <charset val="177"/>
      </rPr>
      <t>הפקדה ל-4 שנים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חצי שנתית</t>
    </r>
    <r>
      <rPr>
        <sz val="12"/>
        <color theme="1"/>
        <rFont val="David"/>
        <family val="2"/>
        <charset val="177"/>
      </rPr>
      <t xml:space="preserve"> של 6%, </t>
    </r>
    <r>
      <rPr>
        <u/>
        <sz val="12"/>
        <color rgb="FFFF0000"/>
        <rFont val="David"/>
        <family val="2"/>
        <charset val="177"/>
      </rPr>
      <t>המחושבת כל חודשיים</t>
    </r>
  </si>
  <si>
    <t xml:space="preserve">(1 + 6%/3)^24 - 1 = </t>
  </si>
  <si>
    <t>לגבי סעיף ד, מדוע חילקנו ב-0.5? כי המטרה היא לשאול: כמה ״חצאים״ נכנסים ב״רבע״. התשובה היא</t>
  </si>
  <si>
    <t xml:space="preserve">שצריך מחצית מה-0.5, כדי להגיע לרבעון. </t>
  </si>
  <si>
    <t>או, למי שזה יותר קל לו, אפשר לכפול 3% ב-2, שזה כמו לחלק ב-0.5.</t>
  </si>
  <si>
    <r>
      <t xml:space="preserve">נדרש: </t>
    </r>
    <r>
      <rPr>
        <b/>
        <sz val="12"/>
        <color theme="1"/>
        <rFont val="David"/>
        <family val="2"/>
        <charset val="177"/>
      </rPr>
      <t xml:space="preserve">מהי </t>
    </r>
    <r>
      <rPr>
        <b/>
        <sz val="12"/>
        <color rgb="FFFF0000"/>
        <rFont val="David"/>
        <family val="2"/>
        <charset val="177"/>
      </rPr>
      <t>הריבית האפקטיבית השנתית</t>
    </r>
    <r>
      <rPr>
        <b/>
        <sz val="12"/>
        <color theme="1"/>
        <rFont val="David"/>
        <family val="2"/>
        <charset val="177"/>
      </rPr>
      <t xml:space="preserve"> בחלופה שיעדיף קוקי</t>
    </r>
    <r>
      <rPr>
        <sz val="12"/>
        <color theme="1"/>
        <rFont val="David"/>
        <family val="2"/>
        <charset val="177"/>
      </rPr>
      <t>?</t>
    </r>
  </si>
  <si>
    <r>
      <t xml:space="preserve">א. הלוואה בריבית שנתית נקובה של 10%, </t>
    </r>
    <r>
      <rPr>
        <u/>
        <sz val="12"/>
        <color rgb="FFFF0000"/>
        <rFont val="David"/>
        <family val="2"/>
        <charset val="177"/>
      </rPr>
      <t>מחושבת 4 פעמים בשנה (=כל רבעון)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</si>
  <si>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ב. הלוואה בריבית שנתית נקובה של 11%, </t>
    </r>
    <r>
      <rPr>
        <u/>
        <sz val="12"/>
        <color rgb="FFFF0000"/>
        <rFont val="David"/>
        <family val="2"/>
        <charset val="177"/>
      </rPr>
      <t>מחושבת פעם בשנה</t>
    </r>
    <r>
      <rPr>
        <sz val="12"/>
        <color theme="1"/>
        <rFont val="David"/>
        <family val="2"/>
        <charset val="177"/>
      </rPr>
      <t>.</t>
    </r>
  </si>
  <si>
    <t xml:space="preserve">(1 + 11%/1)^1 - 1 = </t>
  </si>
  <si>
    <r>
      <t xml:space="preserve">ג. הלוואה בריבית </t>
    </r>
    <r>
      <rPr>
        <u/>
        <sz val="12"/>
        <color theme="1"/>
        <rFont val="David"/>
        <family val="2"/>
        <charset val="177"/>
      </rPr>
      <t>חצי שנתית נקובה של 6%,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.</t>
    </r>
  </si>
  <si>
    <t xml:space="preserve">(1 + 6%/6)^12 - 1 = </t>
  </si>
  <si>
    <r>
      <t xml:space="preserve">ד. הלוואה </t>
    </r>
    <r>
      <rPr>
        <u/>
        <sz val="12"/>
        <color theme="1"/>
        <rFont val="David"/>
        <family val="2"/>
        <charset val="177"/>
      </rPr>
      <t>בריבית רבעונית נקובה</t>
    </r>
    <r>
      <rPr>
        <sz val="12"/>
        <color theme="1"/>
        <rFont val="David"/>
        <family val="2"/>
        <charset val="177"/>
      </rPr>
      <t xml:space="preserve"> של 3%, מחושבת כל </t>
    </r>
    <r>
      <rPr>
        <u/>
        <sz val="12"/>
        <color rgb="FFFF0000"/>
        <rFont val="David"/>
        <family val="2"/>
        <charset val="177"/>
      </rPr>
      <t>חצי שנה</t>
    </r>
    <r>
      <rPr>
        <sz val="12"/>
        <color rgb="FFFF0000"/>
        <rFont val="David"/>
        <family val="2"/>
        <charset val="177"/>
      </rPr>
      <t xml:space="preserve">. </t>
    </r>
  </si>
  <si>
    <t xml:space="preserve">(1 + 3%/0.5)^2 - 1 = </t>
  </si>
  <si>
    <t>היא הנמוכה ביותר, כלומר את חלופה א במקרה זה.</t>
  </si>
  <si>
    <t>והתשובה הסופית שלנו: הואיל ומדובר בהלוואה, קוקי יעדיף את החלופה שבה הריבית השנתית האפקטיבית</t>
  </si>
  <si>
    <t>תרגיל 5 - ברמת מבחן בנושא ריבית דריבית</t>
  </si>
  <si>
    <t xml:space="preserve">שמס מכרה את העסק לחימום נקניק והיא מעוניינת להפקיד את הסכום בפקדון ל-3 שנים. </t>
  </si>
  <si>
    <t>הבנק הציע לה את האפשרויות הבאות:</t>
  </si>
  <si>
    <r>
      <t xml:space="preserve">א. </t>
    </r>
    <r>
      <rPr>
        <u/>
        <sz val="12"/>
        <color theme="1"/>
        <rFont val="David"/>
        <family val="2"/>
        <charset val="177"/>
      </rPr>
      <t>ריבית נקובה שנתית</t>
    </r>
    <r>
      <rPr>
        <sz val="12"/>
        <color theme="1"/>
        <rFont val="David"/>
        <family val="2"/>
        <charset val="177"/>
      </rPr>
      <t xml:space="preserve"> בשיעור 8%,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rgb="FFFF0000"/>
        <rFont val="David"/>
        <family val="2"/>
        <charset val="177"/>
      </rPr>
      <t>.</t>
    </r>
  </si>
  <si>
    <r>
      <t xml:space="preserve">נדרש: </t>
    </r>
    <r>
      <rPr>
        <sz val="12"/>
        <color rgb="FFFF0000"/>
        <rFont val="David"/>
        <family val="2"/>
        <charset val="177"/>
      </rPr>
      <t xml:space="preserve">מהי הריבית האפקטיבית </t>
    </r>
    <r>
      <rPr>
        <b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בחלופה שתעדיף שמס?</t>
    </r>
  </si>
  <si>
    <r>
      <t xml:space="preserve">ב. </t>
    </r>
    <r>
      <rPr>
        <u/>
        <sz val="12"/>
        <color theme="1"/>
        <rFont val="David"/>
        <family val="2"/>
        <charset val="177"/>
      </rPr>
      <t>ריבית נקובה ל-3 שנים</t>
    </r>
    <r>
      <rPr>
        <sz val="12"/>
        <color theme="1"/>
        <rFont val="David"/>
        <family val="2"/>
        <charset val="177"/>
      </rPr>
      <t xml:space="preserve"> בשיעור 21%,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</si>
  <si>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u/>
        <sz val="12"/>
        <color theme="1"/>
        <rFont val="David"/>
        <family val="2"/>
        <charset val="177"/>
      </rPr>
      <t>ריבית נקובה חצי שנתית</t>
    </r>
    <r>
      <rPr>
        <sz val="12"/>
        <color theme="1"/>
        <rFont val="David"/>
        <family val="2"/>
        <charset val="177"/>
      </rPr>
      <t xml:space="preserve"> בשיעור 4%, </t>
    </r>
    <r>
      <rPr>
        <u/>
        <sz val="12"/>
        <color rgb="FFFF0000"/>
        <rFont val="David"/>
        <family val="2"/>
        <charset val="177"/>
      </rPr>
      <t>מחושבת כל חודשיים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</si>
  <si>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ד. </t>
    </r>
    <r>
      <rPr>
        <u/>
        <sz val="12"/>
        <color theme="1"/>
        <rFont val="David"/>
        <family val="2"/>
        <charset val="177"/>
      </rPr>
      <t>ריבית נקובה לשנתיים</t>
    </r>
    <r>
      <rPr>
        <sz val="12"/>
        <color theme="1"/>
        <rFont val="David"/>
        <family val="2"/>
        <charset val="177"/>
      </rPr>
      <t xml:space="preserve"> בשיעור 15%,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</si>
  <si>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 xml:space="preserve">(1 + 8%/2)^2 - 1 = </t>
  </si>
  <si>
    <t xml:space="preserve">(1 + 21%/36)^12 - 1 = </t>
  </si>
  <si>
    <t xml:space="preserve">(1 + 4%/3)^6 - 1 = </t>
  </si>
  <si>
    <t xml:space="preserve">(1 + 15%/8)^4 - 1 = </t>
  </si>
  <si>
    <t>בשונה מתרגיל 4, שעסק בהלוואה ובה רצינו את הריבית הנמוכה ביותר,</t>
  </si>
  <si>
    <t>כאן מדובר בהשקעה / הפקדה - ובה נרצה את הריבית האפקטיבית הגבוהה ביותר.</t>
  </si>
  <si>
    <t xml:space="preserve">לכן, החלופה שתועדף היא חלופה ג. </t>
  </si>
  <si>
    <t xml:space="preserve">תשובה סופית: הריבית האפקטיבית השנתית בחלופה שתעדיף שמס היא 8.271%. </t>
  </si>
  <si>
    <t>הגדרנו ריבית אפקטיבית בתור הריבית ה״אמיתית״ / ״הכוללת״ בעסקה.</t>
  </si>
  <si>
    <t>הבהרנו שאם קיימת ריבית דריבית, צריך להתחשב בה בחישוב הריבית האפקטיבית.</t>
  </si>
  <si>
    <t>הצגנו את העיקרון וההיגיון שבכך (בתרגיל 1) ולאחר מכן תרגלנו את הנוסחה הכוללת.</t>
  </si>
  <si>
    <t>היה חשוב מאד שננסה להבין את ההבדל בין החלוקה למעריך החזקה, לטובת מתן ביטוי לריבית הכוללת.</t>
  </si>
  <si>
    <t>במפגש הבא, נציג את הגורם הנוסף שמשפיע על ריבית אפקטיבית - ריבית מראש ועמלות, ונסדיר את נושא הבחינה</t>
  </si>
  <si>
    <t xml:space="preserve">בהקשר לריביות באופן כללי. </t>
  </si>
  <si>
    <t>פתרון שאלות נוספות מהמטלה שלא פתרנו בכיתה אלא אני מצרף להן פתרון (נסח השאלות בקובץ המטלה):</t>
  </si>
  <si>
    <t>שאלה 1 - מטלה 1</t>
  </si>
  <si>
    <t>שאלה 2 - מטלה 1</t>
  </si>
  <si>
    <t>שאלה 3 - מטלה 1</t>
  </si>
  <si>
    <t>שאלה 4 - מטלה 1</t>
  </si>
  <si>
    <t>התשובה: 149,014</t>
  </si>
  <si>
    <t>שאלה 5 - מטלה 1</t>
  </si>
  <si>
    <t>שאלה 6 - מטלה 1</t>
  </si>
  <si>
    <t>התשובה: 73,839</t>
  </si>
  <si>
    <t>שאלה 7 - מטלה 1 - פתרון מפורט למעלה (פתרנו בשיעור)</t>
  </si>
  <si>
    <t>שאלה 8 - מטלה 1</t>
  </si>
  <si>
    <t xml:space="preserve">התשובה: כ-31.5 חודשים. </t>
  </si>
  <si>
    <t>שאלה 9 - מטלה 1 - פתרון מפורט למעלה (פתרנו בשיעור)</t>
  </si>
  <si>
    <t xml:space="preserve">שאלה 10 - מטלה 1 </t>
  </si>
  <si>
    <t xml:space="preserve">התשובה: 712,690 ש״ח </t>
  </si>
  <si>
    <t xml:space="preserve">שאלה 11 - מטלה 1 </t>
  </si>
  <si>
    <t xml:space="preserve">שהניחה 10 שנים בלבד. </t>
  </si>
  <si>
    <t>התשובה: 446,956. הערה: יש טעות כתיב בשאלה, מדובר ב-11 שנים בסך הכל ולא 10. כמובן שהתקבלה גם תשובה</t>
  </si>
  <si>
    <t>ראשית, נושאים שנותרו עד לסיום הסמסטר:</t>
  </si>
  <si>
    <t>מפגש 9</t>
  </si>
  <si>
    <t>מפגש 10</t>
  </si>
  <si>
    <t>קריטריונים לבחינת כדאיות השקעות</t>
  </si>
  <si>
    <t>מפגש 11</t>
  </si>
  <si>
    <t>שיעור ״שוטף״ אחרון</t>
  </si>
  <si>
    <t>מפגש 12</t>
  </si>
  <si>
    <t>חזרה - פתרון בחינה לדוגמא</t>
  </si>
  <si>
    <t xml:space="preserve">אינפלציה - ריבית נומינלית, ריאלית והצמדת לוחות </t>
  </si>
  <si>
    <t>מפגש 9 - יסודות המימון א - לוחות סילוקין, הלוואות ואינפלציה</t>
  </si>
  <si>
    <t>המפגש הנוכחי</t>
  </si>
  <si>
    <t>שבוע הבא</t>
  </si>
  <si>
    <t>תזרימי מזומנים (הבסיס) והצגת מבנה הבחינה ודגשים</t>
  </si>
  <si>
    <t>הנושא המרכזי של המפגש - הלוואות - בהקשר ללוחות סילוקין מפורטים, והצמדה למדד (אינפלציה)</t>
  </si>
  <si>
    <t xml:space="preserve">נתחיל מדיון לגבי ״לוחות סילוקין מפורטים״. </t>
  </si>
  <si>
    <t xml:space="preserve">לוחות סילוקין = טבלאות שעוזרות לנו לגלות בהקשר להלוואות מסוגים מסוימים - </t>
  </si>
  <si>
    <t xml:space="preserve">א. כמה מחזירים בסך הכל כל תקופה (בדרך כלל - כל חודש). </t>
  </si>
  <si>
    <t xml:space="preserve">ב. איזה חלק מההחזר הוא בגין (על חשבון) ריבית. </t>
  </si>
  <si>
    <t xml:space="preserve">ג. איזה חלק מההחזר הוא בגין (על חשבון) קרן. </t>
  </si>
  <si>
    <t>יש מגוון רחב של לוחות סילוקין, אנו נתמקד בשניים:</t>
  </si>
  <si>
    <t xml:space="preserve">א. לוח סילוקין ״רגיל״ = ״החזרי קרן שווים״. </t>
  </si>
  <si>
    <t xml:space="preserve">ב. לוח סילוקין ״שפיצר״ = ״החזרים שווים״. </t>
  </si>
  <si>
    <t>תרגיל הדגמה ראשוני - לוחות סילוקין בסיסיים - שפיצר ורגיל</t>
  </si>
  <si>
    <t xml:space="preserve">פדילה שוקל ליטול הלוואה בסך 400,000 ש״ח לתקופה של 5 שנים. </t>
  </si>
  <si>
    <t xml:space="preserve">ההלוואה תוחזר ב-5 תשלומים שנתיים. </t>
  </si>
  <si>
    <t>הריבית השנתית: 10%.</t>
  </si>
  <si>
    <t xml:space="preserve">נדרש: </t>
  </si>
  <si>
    <t>א. הציגו לוח סילוקין ״רגיל״ בגין ההלוואה.</t>
  </si>
  <si>
    <t xml:space="preserve">ב. הציגו לוח סילוקין ״שפיצר״ בגין ההלוואה. </t>
  </si>
  <si>
    <t>לוח סילוקין ״רגיל״</t>
  </si>
  <si>
    <t>מס׳ תשלום</t>
  </si>
  <si>
    <t>ע״ח קרן</t>
  </si>
  <si>
    <t>ע״ח ריבית</t>
  </si>
  <si>
    <t>לוח סילוקין ״שפיצר״</t>
  </si>
  <si>
    <t xml:space="preserve">שלב 1 לוח רגיל: </t>
  </si>
  <si>
    <t>400,000 / 5 = 80,000</t>
  </si>
  <si>
    <t>שלב 2 לוח רגיל: בגין כל תשלום, הוקטנה היתרה ב-80,000.</t>
  </si>
  <si>
    <t>שלב 3 לוח רגיל: בגין כל תשלום, הריבית היא המכפלה</t>
  </si>
  <si>
    <t>של היתרה הקודמת באחוז הריבית, למשל:</t>
  </si>
  <si>
    <t>ריבית שנה 1:</t>
  </si>
  <si>
    <t>400,000 * 10% = 40,000</t>
  </si>
  <si>
    <t>ריבית שנה 2:</t>
  </si>
  <si>
    <t>320,000 * 10% = 32,000</t>
  </si>
  <si>
    <t>שלב 1:</t>
  </si>
  <si>
    <t>Set:</t>
  </si>
  <si>
    <t>שלב 2:</t>
  </si>
  <si>
    <t>בכל תקופה - הסכום ע״ח ריבית מכפלת</t>
  </si>
  <si>
    <t>היתרה לתקופה קודמת ב-% הריבית</t>
  </si>
  <si>
    <t>שלב 3:</t>
  </si>
  <si>
    <t>התשלום ע״ח קרן הוא ה-PMT (בערך מוחלט)</t>
  </si>
  <si>
    <t>בניכוי התשלום ע״ח ריבית</t>
  </si>
  <si>
    <t>תשלום ע״ח קרן זמן 1:</t>
  </si>
  <si>
    <t>105,518.99 - 40,000 = 65,519</t>
  </si>
  <si>
    <t>יתרה (הקרן)</t>
  </si>
  <si>
    <t>היתרה (יתרת הקרן) היא לפי היתרה הקודמת, בניכוי</t>
  </si>
  <si>
    <t xml:space="preserve">התשלום ע״ח הקרן. </t>
  </si>
  <si>
    <t>תרגיל הדגמה נוסף לקיצור דרך בלוח שפיצר - שימוש בפונקציית AMRT</t>
  </si>
  <si>
    <t xml:space="preserve">שירי שוקלת לרכוש מכונה ענקית לחימום נקניק לעובדי המשרד. </t>
  </si>
  <si>
    <t xml:space="preserve">לשם כך בכוונתה ליטול הלוואה בסך 500,000 ש״ח ל-20 שנים, המסולקת בתשלומים חודשיים שווים (לוח שפיצר). </t>
  </si>
  <si>
    <t>בהנחה שהריבית החודשית 1%, נדרש:</t>
  </si>
  <si>
    <t>א. מהו התשלום החודשי הקבוע?</t>
  </si>
  <si>
    <t>ב. מהי יתרת ההלוואה בתום השנה ה-14?</t>
  </si>
  <si>
    <t>ג. מהי הריבית המשולמת בתשלום ה-127?</t>
  </si>
  <si>
    <t>ד. מהם סך תשלומי הריבית בשנה ה-8?</t>
  </si>
  <si>
    <t>מדובר בהלוואת שפיצר שכוללת מאות החזרים:</t>
  </si>
  <si>
    <t xml:space="preserve">20 * 12 = </t>
  </si>
  <si>
    <t xml:space="preserve">כמובן שלבנות טבלה עם 240 שורות כדי להציג את הלוח בשלמותו - זה לא ריאלי. </t>
  </si>
  <si>
    <t xml:space="preserve">ולכן נשתמש בקיצורי דרך במחשבון הפיננסי. </t>
  </si>
  <si>
    <t xml:space="preserve">הקיצורים בלוח שפיצר יישענו על פונקציית AMRT כפי שנגדיר עוד מעט. </t>
  </si>
  <si>
    <t>התשלום התקופתי הקבוע (חודשי, שנתי...) הוא ה-PMT. את ה-PMT מחלצים בלוח שפיצר עם CMPD:</t>
  </si>
  <si>
    <t>הלוואה מוחזרת בתשלומים חודשיים (כל חודש) במשך 20 שנה ולכן:</t>
  </si>
  <si>
    <t>שיעור הריבית החודשית הנתונה (אין צורך בהתאמה):</t>
  </si>
  <si>
    <t>סכום ההלוואה הנתון:</t>
  </si>
  <si>
    <t>ערך מחולץ - סך התשלום החודשי הקבוע:</t>
  </si>
  <si>
    <t xml:space="preserve">ניתן להפעיל רק לאחר שחולץ ה-PMT באמצעות CMPD. </t>
  </si>
  <si>
    <t>AMRT</t>
  </si>
  <si>
    <t>PM1:</t>
  </si>
  <si>
    <t>PM2:</t>
  </si>
  <si>
    <t xml:space="preserve">צריך להזין את מספר התשלום שעליו מדברים בשני המקומות הללו. </t>
  </si>
  <si>
    <t>בתום השנה ה-14 מס׳ התשלומים שבוצעו:</t>
  </si>
  <si>
    <t xml:space="preserve">14 * 12 = </t>
  </si>
  <si>
    <t>BAL</t>
  </si>
  <si>
    <t>גוללים עד שמגיעים ל-BAL מלשון BALANCE כלומר יתרה</t>
  </si>
  <si>
    <r>
      <t xml:space="preserve">הדרך המהירה ביותר לחשב יתרת הלוואה למועד מסוים היא על ידי פונקציית </t>
    </r>
    <r>
      <rPr>
        <b/>
        <sz val="12"/>
        <color theme="1"/>
        <rFont val="David"/>
        <family val="2"/>
        <charset val="177"/>
      </rPr>
      <t>AMRT</t>
    </r>
    <r>
      <rPr>
        <sz val="12"/>
        <color theme="1"/>
        <rFont val="David"/>
        <family val="2"/>
        <charset val="177"/>
      </rPr>
      <t>. את הפונקציה הזו</t>
    </r>
  </si>
  <si>
    <t>INT</t>
  </si>
  <si>
    <t>מספר התשלום הספציפי שעליו שואלים - הפעם נתון:</t>
  </si>
  <si>
    <t>גוללים עד שמגיעים ל-INT מלשון Interest כלומר תשלום ריבית</t>
  </si>
  <si>
    <t>סך תשלומי הריבית בשנה ה-8:</t>
  </si>
  <si>
    <t>סוף שנה 7:</t>
  </si>
  <si>
    <t>סוף שנה 8:</t>
  </si>
  <si>
    <t>אני מתעניין בתשלומי הריבית מזמן 85 (החודש הראשון של שנה 8)</t>
  </si>
  <si>
    <t>עד לזמן 96 (החודש האחרון של שנה 8).</t>
  </si>
  <si>
    <t xml:space="preserve">הסימון </t>
  </si>
  <si>
    <t xml:space="preserve">מסמל את סיכום (סיגמא = סיכום = ∑) של תשלומי הריבית בטווח הנדון. </t>
  </si>
  <si>
    <t>תרגיל הדגמה נוסף לקיצור דרך בלוח שפיצר - שימוש בפונקציית AMRT - תרגול כיתה</t>
  </si>
  <si>
    <t xml:space="preserve">ד״ר צבאן שוקל לרכוש מכונה ענקית לחימום נקניק לעובדי המשרד. </t>
  </si>
  <si>
    <t xml:space="preserve">לשם כך בכוונתו ליטול הלוואה בסך 400,000 ש״ח ל-15 שנים, המסולקת בתשלומים חודשיים שווים (לוח שפיצר). </t>
  </si>
  <si>
    <t>בהנחה שהריבית השנתית 10%, נדרש:</t>
  </si>
  <si>
    <t>ב. מהי יתרת ההלוואה בתום השנה ה-6?</t>
  </si>
  <si>
    <t>ג. מהי הריבית המשולמת בתשלום ה-78?</t>
  </si>
  <si>
    <t>ד. מהם סך תשלומי הריבית בשנה ה-1?</t>
  </si>
  <si>
    <t xml:space="preserve"> n</t>
  </si>
  <si>
    <t>Solve INT</t>
  </si>
  <si>
    <t>Solve BAL</t>
  </si>
  <si>
    <t>ד</t>
  </si>
  <si>
    <t xml:space="preserve">Solve </t>
  </si>
  <si>
    <t>תרגיל וסוגיה נוספת ואחרונה בשפיצר - גישת המסלולים</t>
  </si>
  <si>
    <t xml:space="preserve">שיראל מעוניינת לרכוש מבנה לטובת חימום נקניק. </t>
  </si>
  <si>
    <t>עלות המבנה 1,000,000 ש״ח, והיא מעוניינת ליטול משכנתא (הלוואה) למימון 60% מעלות המבנה.</t>
  </si>
  <si>
    <t>את המשכנתא שיראל תיקח ב-2 מסלולים:</t>
  </si>
  <si>
    <t>מסלול א:</t>
  </si>
  <si>
    <t>מהמשכנתא</t>
  </si>
  <si>
    <t>בריבית פריים פלוס 0.5%</t>
  </si>
  <si>
    <t>מסלול ב:</t>
  </si>
  <si>
    <t>בריבית קבועה של 7%</t>
  </si>
  <si>
    <t xml:space="preserve">המשכנתא תפרע בתשלומים חודשיים שווים (לוח שפיצר) במשך 30 שנה. </t>
  </si>
  <si>
    <t xml:space="preserve">ב. חשבו את ה-PMT בכל אחד מהמסלולים. </t>
  </si>
  <si>
    <t>ד. מהם סך תשלומי הריבית שבוצעו במהלך 5 השנים הראשונות.</t>
  </si>
  <si>
    <t xml:space="preserve">ג. מהי יתרת ההלוואה (המשכנתא) לאחר 5 שנים. </t>
  </si>
  <si>
    <t xml:space="preserve">הדרכה: פצלו את ההלוואה ל-2 חלקים: חלק 1: מסלול א, חלק 2: מסלול ב. </t>
  </si>
  <si>
    <t xml:space="preserve">חשבו את ה-BAL לאחר 5 שנים (60 תשלומים) של כל חלק בנפרד, וחברו. </t>
  </si>
  <si>
    <t>סה״כ:</t>
  </si>
  <si>
    <t xml:space="preserve">PMT(א)+PMT(ב) = </t>
  </si>
  <si>
    <t>א. חפשו בגוגל מהי ״ריבית הפריים היום״. בהתבסס עליה חשבו את הריבית השנתית במסלול א (תשובה: פריים = 6%, פריים + 0.5% = 6.5%)</t>
  </si>
  <si>
    <t>פתרון סעיף ב</t>
  </si>
  <si>
    <t>פתרון סעיף ג</t>
  </si>
  <si>
    <t>PM1</t>
  </si>
  <si>
    <t>PM2</t>
  </si>
  <si>
    <t xml:space="preserve">BAL(א)+BAL(ב) = </t>
  </si>
  <si>
    <t>פתרון סעיף ד</t>
  </si>
  <si>
    <t xml:space="preserve">חשבו את סך תשלומי הריבית ב- 5 השנים (תשלומים 1-60) של כל חלק בנפרד, וחברו. </t>
  </si>
  <si>
    <t>????</t>
  </si>
  <si>
    <t>???</t>
  </si>
  <si>
    <t xml:space="preserve">לוחות סילוקין וחילוץ ערכים </t>
  </si>
  <si>
    <t>הצמדה ואינפלציה, קריטריונים לבחינת כדאיות השקעות</t>
  </si>
  <si>
    <t>שבוע שעבר</t>
  </si>
  <si>
    <t>השבוע</t>
  </si>
  <si>
    <t>מפגש 10 - יסודות המימון א - אינפלציה (הצמדת לוחות סילוקין) וכדאיות השקעות - הבסיס</t>
  </si>
  <si>
    <t>מיני רציונל - הלוואות שפיצר (המשך של השיעור הקודם) + השפעות אינפלציה (הצמדה למדד)</t>
  </si>
  <si>
    <t xml:space="preserve">עליית מחירים היא אחד מהנושאים הכי כואבים בקיום הכלכלי שלנו. </t>
  </si>
  <si>
    <t xml:space="preserve">אתם לא מכירים את זה, כי אתם בני 6, אבל אני זוכר תקופה שבה ליטר דלק עלה 2.80. </t>
  </si>
  <si>
    <t>אני גם זוכר תקופה שבה לאפה עלתה 27 ש״ח.</t>
  </si>
  <si>
    <t>כמובן שזה לא דומה בכלל למחירים היום.</t>
  </si>
  <si>
    <t>במלים אחרות - אם אני משקיע או מלווה כסף - כדי לדעת מה הריבית שאדרוש, אני צריך לקחת בחשבון</t>
  </si>
  <si>
    <t xml:space="preserve">גם את עליית המחירים. </t>
  </si>
  <si>
    <t xml:space="preserve">המחשה: נניח שהלוויתי למשה כסף - 100 ש״ח, לשנה, בריבית 10%. הוא מחזיר לי אחרי שנה 110. </t>
  </si>
  <si>
    <t xml:space="preserve">אם במהלך אותה שנה המחירים עלו ב-20%: הפסדתי. </t>
  </si>
  <si>
    <t>לכן, מלווים ומשקיעים רבים מעוניינים להגן על הכסף שלהם - בצורה של התקשרות שתבטיח שיקבלו גם את הרווח</t>
  </si>
  <si>
    <t xml:space="preserve">הבסיסי, וגם את עליית המחירים. </t>
  </si>
  <si>
    <t xml:space="preserve">המנגנון הזה - שמשרת משקיעים - וקובע שהם יקבלו עוד סכום מעבר לרווח הבסיסי במידה וחלה עליית מחירים כזו - </t>
  </si>
  <si>
    <t xml:space="preserve">נקרא ״הצמדה״. </t>
  </si>
  <si>
    <t>בשפה פשוטה: הלוואה צמודה / השקעה צמודה - הלוואה / השקעה שבה הסכום הכספי שיתקבל מותאם לעליית</t>
  </si>
  <si>
    <t xml:space="preserve">המחירים / למדד / לאינפלציה. </t>
  </si>
  <si>
    <t>שאלה 1 - הלוואת שפיצר צמודה למדד - שאלה בסיסית</t>
  </si>
  <si>
    <t>יחיא נטל הלוואה בסכום של 50,000 ש״ח לטובת רכישת מכונה לחימום נקניק. ההלוואה צמודה למדד ונושאת</t>
  </si>
  <si>
    <t xml:space="preserve">ריבית שנתית צמודה בשיעור 4% לשנה. ההלוואה נפרעת בתשלומים חודשיים שווים (לוח סילוקין שפיצר) </t>
  </si>
  <si>
    <t xml:space="preserve">במשך 5 שנים. </t>
  </si>
  <si>
    <t xml:space="preserve">בחלוף שנתיים בדיוק, זכה יחיא בלוטו, והוא מעוניין לפרוע את יתרת ההלוואה לאותו היום. </t>
  </si>
  <si>
    <t xml:space="preserve">אם ידוע שהמדד במועד נטילת ההלוואה הוא 104, והמדד בחלוף שנתיים הוא 108.5, מהו הסכום שאותו יצטרך </t>
  </si>
  <si>
    <t>יחיא לפרוע?</t>
  </si>
  <si>
    <t>כאשר אני נתקל בשאלה על הלוואה צמודה למדד, אפעל בשני שלבים:</t>
  </si>
  <si>
    <t xml:space="preserve">שלב 1: חישוב הערך הנדרש בהתעלם מההצמדה (CMPD + AMRT). </t>
  </si>
  <si>
    <t xml:space="preserve">שלב 2: ביצוע הצמדה למדד: כופלים את הערך לפני הצמדה ביחס בין המדד העדכני למדד הבסיס (במועד נטילת ההלוואה). </t>
  </si>
  <si>
    <t xml:space="preserve">((1+4%)^(1/12)-1)*100 = </t>
  </si>
  <si>
    <t>סכום ההלוואה, בסימן חיובי</t>
  </si>
  <si>
    <t xml:space="preserve">5 * 12 = </t>
  </si>
  <si>
    <t>אין כאן תשלום חד פעמי נוסף ״בסוף״</t>
  </si>
  <si>
    <t xml:space="preserve">שאלו על היתרה אחרי שנתיים, לכן, </t>
  </si>
  <si>
    <t>עליי להזין ב-PM ערך של 24 (כי שאלו</t>
  </si>
  <si>
    <t>על היתרה לאחר 24 תשלומים)</t>
  </si>
  <si>
    <t>היתרה (מעוגל לש״ח השלם הקרוב)</t>
  </si>
  <si>
    <t>שלב 1: חישוב יתרת ההלוואה רגע לפני הפדיון המוקדם - CMPD + AMRT: בהתעלם מההצמדה</t>
  </si>
  <si>
    <t>שלב 2: חישוב יתרת ההלוואה כולל הצמדה - על בסיס יתרת BAL לפני הצמדה, כפול היחס בין המדד העדכני לבין המדד במועד נטילת ההלוואה</t>
  </si>
  <si>
    <t xml:space="preserve">BAL(Zamud) = BAL * </t>
  </si>
  <si>
    <t>מדד עדכני</t>
  </si>
  <si>
    <t>מדד בסיסי</t>
  </si>
  <si>
    <t xml:space="preserve">BAL(Zamud) = 31,168 * </t>
  </si>
  <si>
    <t>כך שהיתרה לתשלום (יתרת החוב אחרי הצמדה) בחלוף שנתיים (באל זמוד) היא 32,517 ש״ח.</t>
  </si>
  <si>
    <t>שאלה 2 - הלוואת שפיצר צמודה למדד - שאלה בסיסית</t>
  </si>
  <si>
    <t>הבנק מציע לו שתי אפשרויות:</t>
  </si>
  <si>
    <t xml:space="preserve">א. הלוואה צמודה למדד, בריבית שנתית של 3%. </t>
  </si>
  <si>
    <t>ב. הלוואה שאיננה צמודה למדד בריבית שנתית של 8%.</t>
  </si>
  <si>
    <t xml:space="preserve">דור מעוניין ליטול הלוואה בסכום של 50,000 ש״ח לתקופה של 4 שנים, בהחזרים חודשיים שווים. </t>
  </si>
  <si>
    <t>מס׳ תשלומים כולל בהלוואה 4*12 = 48</t>
  </si>
  <si>
    <t>[(1 + 3%)^(1/12) - 1] * 100 =</t>
  </si>
  <si>
    <t>שאלו על היתרה אחרי שנה, כלומר אחרי</t>
  </si>
  <si>
    <t>כ-12 תשלומים</t>
  </si>
  <si>
    <t>לפני הצמדה!</t>
  </si>
  <si>
    <t xml:space="preserve">BAL(Zamud) = 38,048 * </t>
  </si>
  <si>
    <r>
      <rPr>
        <b/>
        <sz val="12"/>
        <color theme="1"/>
        <rFont val="David"/>
        <family val="2"/>
        <charset val="177"/>
      </rPr>
      <t>של 106</t>
    </r>
    <r>
      <rPr>
        <sz val="12"/>
        <color theme="1"/>
        <rFont val="David"/>
        <family val="2"/>
        <charset val="177"/>
      </rPr>
      <t>, מהי צפויה להיות יתרת כל אחת מההלוואות בתום שנה?</t>
    </r>
  </si>
  <si>
    <r>
      <t xml:space="preserve">בהנחה שההערכה היא שהמדד ישתנה בשנה הקרובה </t>
    </r>
    <r>
      <rPr>
        <b/>
        <sz val="12"/>
        <color theme="1"/>
        <rFont val="David"/>
        <family val="2"/>
        <charset val="177"/>
      </rPr>
      <t>ממדד בסיס של 102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למדד עדכני</t>
    </r>
    <r>
      <rPr>
        <sz val="12"/>
        <color theme="1"/>
        <rFont val="David"/>
        <family val="2"/>
        <charset val="177"/>
      </rPr>
      <t xml:space="preserve"> (בתום השנה ה-1)</t>
    </r>
  </si>
  <si>
    <t>פתרון סעיף א - יתרת ההלוואה הצמודה:</t>
  </si>
  <si>
    <t>פתרון סעיף ב - יתרת הלוואה לא צמודה בריבית 8%:</t>
  </si>
  <si>
    <t xml:space="preserve">אם הלוואה איננה צמודה, לא צריך להפעיל עבורה את שלב 2. </t>
  </si>
  <si>
    <t>ההלוואה לא צמודה, ולכן היתרה</t>
  </si>
  <si>
    <t>שחושבה ב-BAL היא גם היתרה סופית</t>
  </si>
  <si>
    <t>כך שהיתרה לתשלום בחלוף שנה בהלוואה לא צמודה - סעיף ב: היא 38,904 ש״ח.</t>
  </si>
  <si>
    <t>כך שהיתרה לתשלום (יתרת החוב אחרי הצמדה) בחלוף שנה (באל זמוד) היא 39,540 ש״ח.</t>
  </si>
  <si>
    <t>המשך תרגול הלוואות והקשר להצמדה למדד</t>
  </si>
  <si>
    <t>נושא אחרון - בחינת כדאיות השקעות (פרויקטים)</t>
  </si>
  <si>
    <t>מבוא ומשמעות:</t>
  </si>
  <si>
    <t xml:space="preserve">אנו מגדירים במימון פרויקט בתור רצף תזרימי מזומנים הנובע ממנו. </t>
  </si>
  <si>
    <t>במלים אחרות, אנחנו לא נדבר על פרויקט במונחים של סיבוכיות תפעולית, או הקצאת משאבים וכיו״ב.</t>
  </si>
  <si>
    <t xml:space="preserve">אצלנו פרויקט מוגדר בתור תחזית הערכים הכספיים שצפויים לנבוע ממנו. </t>
  </si>
  <si>
    <t>למשל, שאלת פרויקטים בקורס בהחלט יכולה להתחיל פשוט ככה:</t>
  </si>
  <si>
    <t>״לפניך נתוני פרויקט שמוצע לחברה״:</t>
  </si>
  <si>
    <t>פרויקט א</t>
  </si>
  <si>
    <t xml:space="preserve">המטרה שלנו - אם אני מקבל נתוני תזרימי מזומנים של פרויקט - לסייע לחברה לקבל החלטה בדבר כדאיותו. </t>
  </si>
  <si>
    <t>הקריטריונים שבאמצעותם נקבע האם פרויקט כדאי- שניים</t>
  </si>
  <si>
    <r>
      <t xml:space="preserve">קריטריון 1: ערך נוכחי נקי (ענ״נ) ובאנגלית - NPV (Net Present Value): שווי הפרויקט בערך כספי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 נטו. </t>
    </r>
  </si>
  <si>
    <r>
      <t xml:space="preserve">קריטריון 2: שיעור תשואה פנימי (שת״פ) ובאנגלית - (IRR (Internal Rate of Return - מייצג את תשואת הפרויקט </t>
    </r>
    <r>
      <rPr>
        <b/>
        <sz val="12"/>
        <color theme="1"/>
        <rFont val="David"/>
        <family val="2"/>
        <charset val="177"/>
      </rPr>
      <t>באחוזים</t>
    </r>
    <r>
      <rPr>
        <sz val="12"/>
        <color theme="1"/>
        <rFont val="David"/>
        <family val="2"/>
        <charset val="177"/>
      </rPr>
      <t xml:space="preserve">. </t>
    </r>
  </si>
  <si>
    <t>תרגיל בסיסי - חישוב NPV ו-IRR לפרויקט ובחינת כדאיותו</t>
  </si>
  <si>
    <t>עאישה בע״מ היא חברה ענקית לחימום נקניק. לאחרונה הוצע לחברה להרחיב את פעילותה לברזיל ולשם כך החברה</t>
  </si>
  <si>
    <t xml:space="preserve">נדרשת לבצע השקעה גדולה, שצפויה להניב ערך כספי לאחר מכן. </t>
  </si>
  <si>
    <t xml:space="preserve">ידוע כי מחיר ההון של החברה (הריבית שדורשים המשקיעים) היא 8% לשנה. </t>
  </si>
  <si>
    <t xml:space="preserve">חשבו את ה-NPV וה-IRR של הפרויקט וחוו דיעה בדבר כדאיותו לאורם. </t>
  </si>
  <si>
    <t>תשלום - ערך כספי</t>
  </si>
  <si>
    <t>לאחר שגייסה את מיטב הכלכלנים לאומדן הערכים הכספיים של הפרויקט, נמסרו לה הנתונים להלן (במיליוני ש״ח):</t>
  </si>
  <si>
    <t>לשם נוחות, אני אעתיק את הנתונים למקום נקי:</t>
  </si>
  <si>
    <t>CASH</t>
  </si>
  <si>
    <t>כפתור שכולל</t>
  </si>
  <si>
    <t>כלים לכדאיות</t>
  </si>
  <si>
    <t>פרויקטים</t>
  </si>
  <si>
    <t>זמן שנים</t>
  </si>
  <si>
    <t>Csh. Deditor &gt;&gt;&gt;EXE&gt;&gt;&gt;&gt;</t>
  </si>
  <si>
    <t>X</t>
  </si>
  <si>
    <t>כל מה שעשיתי כאן היה להעתיק</t>
  </si>
  <si>
    <t>את נתוני התשלומים של הפרוקיט</t>
  </si>
  <si>
    <t>בזה אחר זה. במחשבון הפיננסי,</t>
  </si>
  <si>
    <t>הערך ״1״ הוא זמן 0, הערך ״2״ הוא זמן 1</t>
  </si>
  <si>
    <t>וכן הלאה... אני פשוט מעתיק לפי הסדר.</t>
  </si>
  <si>
    <t xml:space="preserve">לחיצה על ESC </t>
  </si>
  <si>
    <t xml:space="preserve">SOLVE NPV = </t>
  </si>
  <si>
    <t xml:space="preserve">SOLVE IRR = </t>
  </si>
  <si>
    <t>משמעות הגדלים וקבלת החלטות (כדאי / לא כדאי):</t>
  </si>
  <si>
    <t>ה-NPV הוא שווי הפרויקט נטו (בכסף). כשאני אומר שווי הפרויקט ״נטו״: בהתחשב בכל הכספים</t>
  </si>
  <si>
    <t>שישולמו במסגרת הפרויקט, בכל הכספים שיתקבלו במסגרת הפרויקט, וכן בהתחשב בריבית.</t>
  </si>
  <si>
    <r>
      <t xml:space="preserve">באופן עקרוני כדאי לקבל כל פרויקט אשר 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. </t>
    </r>
  </si>
  <si>
    <t>בקצרה: NPV=שווי נטו, קבל את הפרויקט אם: NPV&gt;0.</t>
  </si>
  <si>
    <t>כדאי! NPV&gt;0</t>
  </si>
  <si>
    <t xml:space="preserve">ה-IRR הוא התשואה השנתית הממוצעת למשקיע (לפני ריביות / עלויות מימון). </t>
  </si>
  <si>
    <t>כלומר: הפרויקט הזה נותן למשקיע תשואה (רווח באחוזים) של 23.61% לשנה.</t>
  </si>
  <si>
    <t xml:space="preserve">כדי שפרויקט יהיה כדאי, עליו לספק תשואה באחוזים שתהיה גבוהה מהריבית שדורשים המשקיעים (מחיר ההון). </t>
  </si>
  <si>
    <t>במקרה זה: התשואה מהפרויקט IRR 23.61% גבוהה יותר מהריבית שדורשים המשקיעים (מחיר ההון) 8%,</t>
  </si>
  <si>
    <t xml:space="preserve">ולכן הפרויקט כדאי. </t>
  </si>
  <si>
    <t>בקצרה: IRR = תשואה באחוזים, קבלי את הפרויקט אם IRR&gt;%I</t>
  </si>
  <si>
    <t>כדאי! IRR&gt;%I</t>
  </si>
  <si>
    <t>23.61%&gt;8%</t>
  </si>
  <si>
    <t>תרגיל נוסף - חישוב NPV ו-IRR לפרויקט ובחינת כדאיותו</t>
  </si>
  <si>
    <t xml:space="preserve">איזאר שוקל לרכוש מכונה ענקית לחימום נקניק לעובדי המשרד. </t>
  </si>
  <si>
    <t>עלות המכונה שתשולם מיד היא 2 מיליון ש״ח.</t>
  </si>
  <si>
    <t>איזאר צופה שהשיפור במוטיבציה של העובדים בעקבות הנקניק יגדיל את הכנסות החברה בסכום של 0.5 מ׳ ש״ח</t>
  </si>
  <si>
    <t xml:space="preserve">בתום כל שנה 3 שנים, ובסכום של 0.8 מ׳ ש״ח בתום כל שנה בשנתיים לאחר מכן. </t>
  </si>
  <si>
    <t xml:space="preserve">נדרש: חשבו את ה-NPV ואת ה-IRR של ההשקעה, וחוות דעה בדבר כדאיותה. </t>
  </si>
  <si>
    <t xml:space="preserve">המשקיעים בחברה דורשים תשואה בשיעור 7% לשנה. </t>
  </si>
  <si>
    <t>הריבית הנדרשת / התשואה הנדרשת על ידי המשקיעים / מחיר ההון</t>
  </si>
  <si>
    <t>הרחבה: על בסיס הממצאים, חוו דעתכם לגבי כל אחת מהטענות הבאות:</t>
  </si>
  <si>
    <t>טענה 1: ״הפרויקט לא כדאי, משום שה-NPV נמוך מה-%I״</t>
  </si>
  <si>
    <t>טענה 2: ״הפרויקט לא כדאי, משום שה-NPV נמוך מהתשלום בזמן 0״</t>
  </si>
  <si>
    <t>טענה 3: ״לפי IRR, הפרויקט כדאי״</t>
  </si>
  <si>
    <t>טענה 4: ״לפי IRR, הפרויקט כדאי - ובנוסף: גם אם ה-IRR היה נמוך יותר, כל עוד הוא חיובי, הפרויקט כדאי״</t>
  </si>
  <si>
    <t>הסבר:</t>
  </si>
  <si>
    <t>מדוע? משום שקריטריון NPV הוא שווי נטו של פרויקט, אחרי כל ההשפעות, ואחרי התחשבות בריבית.</t>
  </si>
  <si>
    <t>טענה 1 - שגויה:</t>
  </si>
  <si>
    <r>
      <t xml:space="preserve">לפי ה-NPV, כדאי לקבל כל פרויקט שה-NPV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: כלומר התנאי הוא NPV&gt;0 ולא NPV&gt;%I. </t>
    </r>
  </si>
  <si>
    <t>טענה 2 - שגויה:</t>
  </si>
  <si>
    <t xml:space="preserve">כאמור, אם ה-NPV חיובי, הפרויקט כדאי נקודה. </t>
  </si>
  <si>
    <t>טענה 3 - נכונה:</t>
  </si>
  <si>
    <t xml:space="preserve">לפי IRR, כדאי לקבל פרויקטים שבהם IRR&gt;%I. במקרה שלנו: IRR=14.94% מה שגדול ממחיר ההון %I = </t>
  </si>
  <si>
    <t>טענה 4 - שגויה.</t>
  </si>
  <si>
    <t xml:space="preserve">החלק השני של הטענה שגוי: הוא אומר שכל עוד ה-IRR חיובי, הפרויקט כדאי. </t>
  </si>
  <si>
    <t>זה לא נכון, משום שה-IRR  צריך להיות לא רק חיובי - אלא גבוה ממחיר ההון.</t>
  </si>
  <si>
    <t>מפגש 11 - יסודות המימון א - מבנה הבחינה וחזרה</t>
  </si>
  <si>
    <t>מנהלות - מבנה הבחינה ודגשים לקראתה - לכל המועדים (א+ב+ג+ד+ה+ו+ש)</t>
  </si>
  <si>
    <t xml:space="preserve">בחינתכם נשענת אך ורק על התכנים במחברת הקורס ובתרגיל ההגשה הרלוונטי. </t>
  </si>
  <si>
    <t xml:space="preserve">בנוסף, יועלו בהקדם בחינות לדוגמא לשם התרשמות בנושא. </t>
  </si>
  <si>
    <t>הבחינה עצמה:</t>
  </si>
  <si>
    <t>כמה זמן?</t>
  </si>
  <si>
    <t>שעתיים (120 דקות)</t>
  </si>
  <si>
    <t>חומר עזר:</t>
  </si>
  <si>
    <t>ובנוסף: מחשבון מדעי ו/או פיננסי</t>
  </si>
  <si>
    <r>
      <rPr>
        <b/>
        <sz val="12"/>
        <color theme="1"/>
        <rFont val="David"/>
        <family val="2"/>
        <charset val="177"/>
      </rPr>
      <t>כל</t>
    </r>
    <r>
      <rPr>
        <sz val="12"/>
        <color theme="1"/>
        <rFont val="David"/>
        <family val="2"/>
        <charset val="177"/>
      </rPr>
      <t xml:space="preserve"> חומר עזר </t>
    </r>
    <r>
      <rPr>
        <b/>
        <sz val="12"/>
        <color theme="1"/>
        <rFont val="David"/>
        <family val="2"/>
        <charset val="177"/>
      </rPr>
      <t>כתוב</t>
    </r>
    <r>
      <rPr>
        <sz val="12"/>
        <color theme="1"/>
        <rFont val="David"/>
        <family val="2"/>
        <charset val="177"/>
      </rPr>
      <t xml:space="preserve"> מותר בשימוש (סיכומים שלכם, הדפסות)</t>
    </r>
  </si>
  <si>
    <t>סוג השאלות:</t>
  </si>
  <si>
    <t>שאלות פתוחות בלבד</t>
  </si>
  <si>
    <t>ניקוד יינתן לא רק על התשובה הסופית - אלא בעיקר על הדרך.</t>
  </si>
  <si>
    <t>אופן ההגשה:</t>
  </si>
  <si>
    <t xml:space="preserve">סריקה (כותבים ידנית את הפרמטרים והתשובות וסורקים). </t>
  </si>
  <si>
    <t>שיעור חזרה:</t>
  </si>
  <si>
    <t xml:space="preserve">יתקיים ב-2/2 בזמן השיעור הרגיל. </t>
  </si>
  <si>
    <t>אופן ההכנה לבחינה וחומרי עזר:</t>
  </si>
  <si>
    <t xml:space="preserve">מיקוד לבחינה: שיופיע מיד, בצורה מפורטת ולפי נושאים. </t>
  </si>
  <si>
    <t>מבחנים לדוגמא / שאלות בסגנון מבחנים לדוגמא: יועלו לאתר .</t>
  </si>
  <si>
    <t>שיעור החזרה ב-2/2, יוארך במידת הצורך כדי להשיב לכל השאלות בצורה הדרגתית ונעימה.</t>
  </si>
  <si>
    <t>מיקוד מפורט לבחינה:</t>
  </si>
  <si>
    <t xml:space="preserve">באופן עקרוני אין ״מיקוד לבחינה״ ברמה של השמטת חומר. כל מה שלמדנו חיוני ובסיסי מאד, ואת ה״מיקוד״ </t>
  </si>
  <si>
    <t xml:space="preserve">מבחינת הדגשים הפחות רלוונטיים כבר הענקנו במהלך הסמסטר. </t>
  </si>
  <si>
    <t>יחד עם זאת יש מטרה מרכזית למיקוד (תמצית החומר) להלן בהקשרים הבאים:</t>
  </si>
  <si>
    <t xml:space="preserve">א. אם לא הייתי בקורס / פספסתי שיעורים / לרגע קיבלתי כאב ראש - כי אני לא באמת מבין במה עוסק הקורס - </t>
  </si>
  <si>
    <t>לעשות סדר בראש.</t>
  </si>
  <si>
    <t>ב. לעזור לכם לתכנן למידה ברמת המשקלים (איפה להשקיע יותר ואיפה פחות) על בסיס ציון הסוגיות המרכזיות.</t>
  </si>
  <si>
    <t>ג. לטובת בקרה עצמית: לאחר שאני מסיים למידה של נושא מסוים - אני עובר על רשימת המיקוד ומוודא שהכל</t>
  </si>
  <si>
    <t xml:space="preserve">ברור לי. </t>
  </si>
  <si>
    <t>להלן המיקוד היפה:</t>
  </si>
  <si>
    <t>נושא</t>
  </si>
  <si>
    <t>שיעורים</t>
  </si>
  <si>
    <t>דגשים והערות</t>
  </si>
  <si>
    <t xml:space="preserve">חישוב ערך עתידי של סכום יחיד (בריבית קבועה ובריבית משתנה). </t>
  </si>
  <si>
    <t>ערך עתידי - FV</t>
  </si>
  <si>
    <t xml:space="preserve">חישוב ערך עתידי של סדרה. </t>
  </si>
  <si>
    <t>חישוב ערך עתידי של סדרה וסכום יחיד.</t>
  </si>
  <si>
    <t>חישוב ערך עתידי מורכב - של מספר סדרות, של סדרה עם המתנה,</t>
  </si>
  <si>
    <t>סדרה עם הפרעה...</t>
  </si>
  <si>
    <t>חילוץ פרמטרים כשהערך העתידי נתון: חילוץ ריבית %I כולל המרה</t>
  </si>
  <si>
    <t xml:space="preserve">שלה (למשל, אבל לא רק - מחודש לשנה), חילוץ מספר התשלומים n, </t>
  </si>
  <si>
    <t xml:space="preserve">חילוץ גובה התשלום - PMT. </t>
  </si>
  <si>
    <t>ערך נוכחי - PV</t>
  </si>
  <si>
    <t>ערך נוכחי של סכום יחיד (בריבית קבועה ובריבית משתנה).</t>
  </si>
  <si>
    <t>ערך נוכחי של סדרה.</t>
  </si>
  <si>
    <t xml:space="preserve">ערך נוכחי של סדרה וגם סכום יחיד ״בסוף״. </t>
  </si>
  <si>
    <t xml:space="preserve">ערך נוכחי מורכב - של מספר סדרות, סדרה עם המתנה, סדרה עם </t>
  </si>
  <si>
    <t>סכום הלוואה כערך נוכחי של החזרים</t>
  </si>
  <si>
    <t>הפרעה, ערך נוכחי מסובך עם שינויים</t>
  </si>
  <si>
    <t>ערך נוכחי יישומים נוספים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</si>
  <si>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4-5</t>
    </r>
  </si>
  <si>
    <t>הלוואות שפיצר</t>
  </si>
  <si>
    <t>הלוואות שפיצר עם תשלום ״בלון״ בסוף</t>
  </si>
  <si>
    <t>הלוואות שפיצר שבהן צריך לבצע התאמת ריבית</t>
  </si>
  <si>
    <t>חילוץ ריבית מגולמת בהלוואת שפיצר (דוגמת האייפון ומגה לבית)</t>
  </si>
  <si>
    <t>בחירה בין חלופות רכישת מוצרים בתשלומים על בסיס ערך נוכחי בכל חלופה</t>
  </si>
  <si>
    <t>תכנון פיננסי - הפקדות ומשיכות</t>
  </si>
  <si>
    <t>ריבית אפקטיבית</t>
  </si>
  <si>
    <t>חישוב ריבית כוללת בהסדרים, כולל ריבית דריבית</t>
  </si>
  <si>
    <t>המשך פיתוח הלוואות:</t>
  </si>
  <si>
    <t>לוח סילוקין שפיצר - כולל שימוש ב-CMPD וגם ב-AMRT לטובת חילוצים</t>
  </si>
  <si>
    <t>בנייה מלאה של לוחות סילוקין - לוח שפיצר</t>
  </si>
  <si>
    <t>בנייה מלאה של לוחות סילוקין - לוח סילוקין ״רגיל״ (החזרי קרן שווים)</t>
  </si>
  <si>
    <t>הלוואות ולוחות סילוקין</t>
  </si>
  <si>
    <t>הלוואות צמודות מדד</t>
  </si>
  <si>
    <t>חישובי לוח סילוקין שפיצר בלבד</t>
  </si>
  <si>
    <t xml:space="preserve">והצמדתם למדד </t>
  </si>
  <si>
    <t>מבוא לכדאיות פרויקטים</t>
  </si>
  <si>
    <t>חישוב NPV (שווי פרויקט) וחישוב IRR (שיעור תשואה באחוזים של פרויקט)</t>
  </si>
  <si>
    <t xml:space="preserve">באמצעות פונקציית CASH.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</si>
  <si>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6-7</t>
    </r>
  </si>
  <si>
    <t>שאלה במבחן</t>
  </si>
  <si>
    <t>שתי שאלות:
שאלה אחת פשוטה
שאלה אחת מורכבת</t>
  </si>
  <si>
    <t>שלוש שאלות:
שאלה אחת פשוטה
שאלה אחת בינונית
שאלה אחת מורכבת</t>
  </si>
  <si>
    <t>שתי שאלות:
שאלה אחת על הלוואות שפיצר, בחירה בין חלופות, חילוץ ריבית
שאלה שניה - תכנון פיננסי</t>
  </si>
  <si>
    <t>שאלה אחת</t>
  </si>
  <si>
    <t>שאלה אחת
יש מצב שנשלב בין שפיצר
לרגיל</t>
  </si>
  <si>
    <t>ניתן
לדלג
על שאלה
אחת
כלומר:
יש 11 שאלות
אתם תבחרו
את ה-10
עליהן
אתם עונים</t>
  </si>
  <si>
    <t>בחירה</t>
  </si>
  <si>
    <r>
      <rPr>
        <sz val="12"/>
        <color theme="5" tint="0.59999389629810485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1-3</t>
    </r>
  </si>
  <si>
    <t>סובחי הנסיך</t>
  </si>
  <si>
    <t>מספר מצומצם של שאלות לתרגול ראשוני - המשך יבוא:</t>
  </si>
  <si>
    <t xml:space="preserve">חברת ״סובחי הנסיך״ בע״מ מעוניינת לרכוש מכונה לטחינת פופיקים על מנת לייצר נקניק טרי. </t>
  </si>
  <si>
    <t xml:space="preserve">לשם כך בכוונתה להפקיד בתום כל חודש במשך 4 שנים סכום קבוע של 2,000 ש״ח. </t>
  </si>
  <si>
    <t xml:space="preserve">לאחר מכן, לא תבוצענה הפקדות במשך שנתיים. </t>
  </si>
  <si>
    <t xml:space="preserve">בדיוק בתום השנה ה-6, תבוצע הפקדה חד פעמית בודדת של 50,000 ש״ח. </t>
  </si>
  <si>
    <t xml:space="preserve">בכל אחת מהשנים 7, 8 ו-9 תבוצע הפקדה רבעונית בסכום של 4,000 ש״ח לרבעון. </t>
  </si>
  <si>
    <t>בתום השנה ה-9 הפקדון ייפרע.</t>
  </si>
  <si>
    <t>בהנחה שהריבית השנתית היא בשיעור של 10% לשנה בכל אחת מהשנתיים הראשונות, ו-15% לשנה בכל שנה לאחר מכן, מהו הסכום שיעמוד</t>
  </si>
  <si>
    <t>לרשותו של סובחי הנסיך לשם רכש מכונת חימום הפופיקים?</t>
  </si>
  <si>
    <t xml:space="preserve">השאלה עוסקת בערך עתידי FV משום שהמטרה היא לגלות מהו הסכום הכולל שיעמוד לרשותנו ״בסוף״ / ״בעתיד״. </t>
  </si>
  <si>
    <t>כמו כן, אני מזהה שינויים בפרמטרים - ריבית, סכומים וכיו״ב - לכן זהו ערך עתידי מורכב.</t>
  </si>
  <si>
    <t>במצב כזה, אנו מבצעים חישוב בשלבים, כל שלב הוא עד מועד ההפרעה / השינוי.</t>
  </si>
  <si>
    <t>עד השינוי הראשון:</t>
  </si>
  <si>
    <t>עד שינוי הריבית</t>
  </si>
  <si>
    <t>עד תום שנה 2</t>
  </si>
  <si>
    <t>הפקדה כל חודש</t>
  </si>
  <si>
    <t>בשנה ה-3</t>
  </si>
  <si>
    <t>ובשנה ה-4</t>
  </si>
  <si>
    <t>בריבית אחרת</t>
  </si>
  <si>
    <t>אין הפקדות</t>
  </si>
  <si>
    <t>רק צבירת</t>
  </si>
  <si>
    <t>במשך שנתיים</t>
  </si>
  <si>
    <t>עד תום 6</t>
  </si>
  <si>
    <t xml:space="preserve">הסכום </t>
  </si>
  <si>
    <t>שנצבר בתום</t>
  </si>
  <si>
    <t>שנה 6 - מצטרף</t>
  </si>
  <si>
    <t>ל-50,000</t>
  </si>
  <si>
    <t>הפקדה בודדת</t>
  </si>
  <si>
    <t>כל רבעון</t>
  </si>
  <si>
    <t>במשך 3 שנים</t>
  </si>
  <si>
    <t xml:space="preserve">תשובתנו הסופית: סובחי יכול לרכוש מכונת נקניק בעלות של 385,483 ש״ח בתום השנה ה-9. </t>
  </si>
  <si>
    <t>טיפים:</t>
  </si>
  <si>
    <t>א. מדוע צריך כל כך הרבה שלבים, ואיך מזהים אותם?</t>
  </si>
  <si>
    <t xml:space="preserve">תמיד כשיש שינוי באחד או יותר מהפרמטרים - סכום, ריבית, תדירות - </t>
  </si>
  <si>
    <t xml:space="preserve">חייבים לפצל את החישוב. </t>
  </si>
  <si>
    <t>ספציפית כאן, למשל, מדובר בהפקדה קבועה במשך 4 שנים,</t>
  </si>
  <si>
    <t>אך הריבית השתנתה לאחר שנתיים.</t>
  </si>
  <si>
    <t>לכן הייתי חייב לפצל את החישוב בתום השנתיים הראשונות.</t>
  </si>
  <si>
    <t>לאחר מכן, בתום שנה 4, חלה הפסקה בהפקדות - זה שינוי</t>
  </si>
  <si>
    <t>נוסף, שהצדיק עמודה נוספת (השלישית) וכן הלאה.</t>
  </si>
  <si>
    <t>ב איך מזהים שצריך להמיר ריבית?</t>
  </si>
  <si>
    <t>כאשר אנו עוסקים בסדרות, כלומר - בהפקדות או תשלומים</t>
  </si>
  <si>
    <t>שיש בהם PMT קבוע, הריבית חייבת להתאים לפרק הזמן</t>
  </si>
  <si>
    <t>בין תשלומים.</t>
  </si>
  <si>
    <t>לכן, אם הריבית שנתית, והתשלומים חודשיים, ומדברים</t>
  </si>
  <si>
    <t>על סדרת הפקדות חודשיות - צריך לדאוג להמיר את הריבית</t>
  </si>
  <si>
    <t>לחודשית.</t>
  </si>
  <si>
    <t>באופן דומה, אם עוסקים בסדרת הפקדות רבעוניות,</t>
  </si>
  <si>
    <t>והריבית שנתית, צריך לדאוג להמיר את הריבית לרבעונית.</t>
  </si>
  <si>
    <t>אם עוסקים בחישוב שאין בו סדרת הפקדות (PMT=0),</t>
  </si>
  <si>
    <t xml:space="preserve">נכון. </t>
  </si>
  <si>
    <t>זה לא משנה איזו ריבית לוקחים, העיקר שמשתמשים בה</t>
  </si>
  <si>
    <t>שאלה נוספת ברמת מבחן</t>
  </si>
  <si>
    <t xml:space="preserve">שרון מעוניינת לרכוש מכונה לעטיפת בשר טחון במעיים. </t>
  </si>
  <si>
    <t xml:space="preserve">המחיר הקטלוגי של המכונה הוא 100,000 ש״ח. </t>
  </si>
  <si>
    <t xml:space="preserve">היבואן מציע לשרון לשלם בעד המכונה ב-20 תשלומים שווים ללא ריבית בתום כל חודש בסכום של 5,000 ש״ח. </t>
  </si>
  <si>
    <t>יחד עם זאת, ידוע לשרון שבמידה ותוכל לשלם את כל הסכום במזומן מיידית, תזכה להנחה בשיעור 8% מחיר</t>
  </si>
  <si>
    <t>המחירון.</t>
  </si>
  <si>
    <t>בהנחה שלשם תשלום מיידי עליה ליטול בבנק הלוואה בריבית 10% לשנה, נדרש:</t>
  </si>
  <si>
    <r>
      <t xml:space="preserve">א.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 רכישת המכונה?</t>
    </r>
  </si>
  <si>
    <t>נושא השאלה העקרוני הוא - חילוץ ריבית המגולמת בהסדר תשלומים לרכישת מוצר: אנו מתייחסים לעלות המוצר</t>
  </si>
  <si>
    <r>
      <t xml:space="preserve">במזומן, נטו, </t>
    </r>
    <r>
      <rPr>
        <b/>
        <sz val="12"/>
        <color theme="1"/>
        <rFont val="David"/>
        <family val="2"/>
        <charset val="177"/>
      </rPr>
      <t>אחרי הנחה</t>
    </r>
    <r>
      <rPr>
        <sz val="12"/>
        <color theme="1"/>
        <rFont val="David"/>
        <family val="2"/>
        <charset val="177"/>
      </rPr>
      <t xml:space="preserve"> כ-PV, ודואגים לחשב את ה-%I. זכרו: ה-%I שנחלץ הוא לפרק הזמן בין תשלומים. </t>
    </r>
  </si>
  <si>
    <t>מספר התשלומים הכולל בהסדר</t>
  </si>
  <si>
    <t>מחיר המוצר נטו במזומן לאחר הנחה של 8%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</si>
  <si>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=100,000 * (1 - 8%)</t>
    </r>
  </si>
  <si>
    <t>סכום התשלום התקופתי הקבוע</t>
  </si>
  <si>
    <t>תשלום או תקבול חד פעמי בסיום העסקה</t>
  </si>
  <si>
    <r>
      <t xml:space="preserve">ריבית לתקופת תשלום = </t>
    </r>
    <r>
      <rPr>
        <b/>
        <sz val="12"/>
        <color theme="1"/>
        <rFont val="David"/>
        <family val="2"/>
        <charset val="177"/>
      </rPr>
      <t>חודש</t>
    </r>
  </si>
  <si>
    <t>הואיל ובשאלה רצו ריבית שנתית ולא חודשית, עליי לתקנן את הריבית מחודש לשנה:</t>
  </si>
  <si>
    <t>הריבית השנתית בהסדר הרכישה בתשלומים</t>
  </si>
  <si>
    <t>ב. איזו חלופה שרון תעדיף - נטילת הלוואה מהבנק ותשלום מלוא הסכום ליבואן, או את הסדר התשלומים של היבואן.</t>
  </si>
  <si>
    <t>לגבי נדרש ב:</t>
  </si>
  <si>
    <t>הריבית שמשלמים ליבואן:</t>
  </si>
  <si>
    <t>הריבית שמשלמים לבנק:</t>
  </si>
  <si>
    <t>המטרה שלנו היא לשלם כמה שפחות ריבית, לכן, נעדיף את החלופה של הלוואה בבנק על פני חלופת ההסדר</t>
  </si>
  <si>
    <t xml:space="preserve">של היבואן. </t>
  </si>
  <si>
    <t>נדרש א:</t>
  </si>
  <si>
    <t xml:space="preserve">חודשיים. </t>
  </si>
  <si>
    <t>הריבית השנתית בהלוואה היא 8%.</t>
  </si>
  <si>
    <t>עידו ג׳אן נטל הלוואה בסך 800,000 ש״ח לתקופה של 30 שנים, הנפרעת לפי לוח סילוקין שפיצר, בתשלומים</t>
  </si>
  <si>
    <t>א. מהו התשלום שיבוצע על חשבון הריבית בשנה הראשונה של ההלוואה?</t>
  </si>
  <si>
    <t>ב. מהי יתרת ההלוואה בתום השנה ה-12?</t>
  </si>
  <si>
    <t>ג. בהנחה שההלוואה צמודה, ושהמדד הוא 104 במועד נטילתה, ו-109.5 בחלוף 14 שנים, מהי יתרת ההלוואה</t>
  </si>
  <si>
    <t>לאחר 14 שנים?</t>
  </si>
  <si>
    <t xml:space="preserve">בכל הלוואת / לוח סילוקין שפיצר, תמיד מתחילים בחישוב CMPD ו-PMT. </t>
  </si>
  <si>
    <t>אחר כך, אם רוצים להעמיק, עוברים לאפשרויות AMRT בלי לאפס את המחשבון.</t>
  </si>
  <si>
    <t>בתור התחלה תמיד נתייחס למספר התשלומים הכולל בהלוואה</t>
  </si>
  <si>
    <t>הריבית לתקופת תשלום - ריבית חודשית</t>
  </si>
  <si>
    <t>סכום חד פעמי בסיום העסקה - כאן: אין</t>
  </si>
  <si>
    <t>התשלום התקופתי הקבוע בהסדר</t>
  </si>
  <si>
    <t xml:space="preserve">כדי לדעת מהי הריבית הכוללת ששולמה בשנה ה-1, </t>
  </si>
  <si>
    <t xml:space="preserve">אני למעשה רוצה לדעת את כל הריביות שנכללו </t>
  </si>
  <si>
    <t xml:space="preserve">בתשלומים ב-12 החודשים הראשונים. </t>
  </si>
  <si>
    <t>סך תשלומי</t>
  </si>
  <si>
    <t>הריבית ב-12</t>
  </si>
  <si>
    <t>הראשונים</t>
  </si>
  <si>
    <t>התשלומים</t>
  </si>
  <si>
    <t>יתרת ההלוואה בתום השנה ה-12 היא למעשה היתרה לאחר 144 תשלומים:</t>
  </si>
  <si>
    <t>יתרת</t>
  </si>
  <si>
    <t>ההלוואה</t>
  </si>
  <si>
    <t>תשלומים</t>
  </si>
  <si>
    <t>ג. בהנחה שההלוואה צמודה, ושהמדד הוא 104 במועד נטילתה, ו-109.5 בחלוף 14 שנים, מהי יתרת ההלוואה לאחר 14 שנים?</t>
  </si>
  <si>
    <t>יתרת ההלוואה בתום השנה ה-14 היא למעשה היתרה לאחר 168 תשלומים:</t>
  </si>
  <si>
    <t xml:space="preserve">לאחר 168 </t>
  </si>
  <si>
    <t xml:space="preserve">לאחר 144 </t>
  </si>
  <si>
    <t>יתרה לפני הצמדה</t>
  </si>
  <si>
    <t>וכדי להגיע ליתרה אחרי הצמדה, פשוט נכפול אותה ביחס שבין המדד העדכני לבין המדד הבסיסי במועד נטילת ההלוואה:</t>
  </si>
  <si>
    <t>יתרת ההלוואה לאחר הצמדה בחלוף 14 שנים:</t>
  </si>
  <si>
    <t>לדעת מהו הסכום הכולל שנצטרך לשלם בעתיד (בהלוואות) או הסכום שנקבל בעתיד (בהשקעות ופקדונות). FV = Future Value</t>
  </si>
  <si>
    <t>לאחר שזיהיתי את סוג העסקה</t>
  </si>
  <si>
    <t>אני יכול לעבור להגדיר את הפרמטרים</t>
  </si>
  <si>
    <t>הפיננסיים שעל בסיסם אחשב</t>
  </si>
  <si>
    <t>את תוצאותיה</t>
  </si>
  <si>
    <t>כפתור במחשבון הפיננסי שפותר את הנדרש לאחר הצבת הערכים האחרים</t>
  </si>
  <si>
    <t xml:space="preserve">כן - כי כתוב ״מפקיד כל חודש״ </t>
  </si>
  <si>
    <t>5* 12 = 60</t>
  </si>
  <si>
    <t>כשיש סדרה וגם סכום יחיד</t>
  </si>
  <si>
    <t>כל כיוון ההתייחסות הוא כמו סדרה</t>
  </si>
  <si>
    <t>אך בנוסף יהיה PV</t>
  </si>
  <si>
    <t>ההפקדות בסדרה הן כל חודש - נדרשת ריבית חודשית - נתונה כ-0.4%</t>
  </si>
  <si>
    <r>
      <t xml:space="preserve">מספר ההפקדות </t>
    </r>
    <r>
      <rPr>
        <b/>
        <sz val="12"/>
        <color theme="1"/>
        <rFont val="David"/>
        <family val="2"/>
        <charset val="177"/>
      </rPr>
      <t>בסדרה (ללא הסכום החד פעמי) = 4 שנים, כל חודש</t>
    </r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</si>
  <si>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=4*12</t>
    </r>
  </si>
  <si>
    <t>הפקדה מיידית חד פעמית  ״הבומבה בהתחלה״</t>
  </si>
  <si>
    <t>ההפקדה התקופתית בסדרה - הסכום המופקד כל חודש</t>
  </si>
  <si>
    <t>מסקנה:</t>
  </si>
  <si>
    <t>הריבית החודשית בעסקה</t>
  </si>
  <si>
    <t>היא כ-2.01563%</t>
  </si>
  <si>
    <t>המרת ריבית:</t>
  </si>
  <si>
    <t>התאמת תקופת הריבית</t>
  </si>
  <si>
    <t>למשל: יש לי ריבית לחודש,</t>
  </si>
  <si>
    <t>ואני רוצה ריבית לשנה</t>
  </si>
  <si>
    <t>נוסחה מתמטית - לא במחשבון פיננסי:</t>
  </si>
  <si>
    <t>כפול 100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</si>
  <si>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=4 * 8 </t>
    </r>
  </si>
  <si>
    <t>דוגמא 6.2 - חפי חפראווי</t>
  </si>
  <si>
    <t>מאי מתחתנת עוד 10 שנים. עלות החתונה צפויה להיות 5,000,000 ש״ח והיא מעוניינת להמנע ממתנות לכיסוי החתונה.</t>
  </si>
  <si>
    <t xml:space="preserve">בהזמנתה כבר כתבה: ״אתם המתנה שלי, בבקשה להגיע ללא צ׳קים״. </t>
  </si>
  <si>
    <t xml:space="preserve">לשם מימון החתונה, מתכננת מאי להפקיד היום סכום של 400,000 ש״ח. </t>
  </si>
  <si>
    <t xml:space="preserve">בנוסף, בכוונתה להפקיד בתום כל חודש סכום קבוע לאותה תוכנית חסכון במשך כל 10 השנים כאמור. </t>
  </si>
  <si>
    <t xml:space="preserve">הריבית השנתית בתוכנית החסכון היא 5%. </t>
  </si>
  <si>
    <t>מהו הסכום החודשי שתצטרך מאי להפקיד, כדי להגשים את חלומה המרגש?</t>
  </si>
  <si>
    <t>הסכום הכולל שצריך להצטבר בעתיד</t>
  </si>
  <si>
    <t>הפקדה חד פעמית היום (בומבה)</t>
  </si>
  <si>
    <t>יש כאן סדרה (למרות שגם סכום יחיד) ה-n חייב להיות מספר ההפקדות - מס׳ חודשים</t>
  </si>
  <si>
    <t>כאשר מדובר בסדרה, הריבית חייבת להתאים לתקופת תשלום (חודש)</t>
  </si>
  <si>
    <t>כיצד נמיר את הריבית מריבית שנתית לחודשית?</t>
  </si>
  <si>
    <t>הריבית שנתית, בעיקרון היינו רוצים לחלק ב-12 כדי להגיע לחודשית, אבל בגלל שמדובר בריבית דריבית, זה צריך להיות בחזקה.</t>
  </si>
  <si>
    <t xml:space="preserve">שימו לב - החזקה היא לא 12 החזקה היא 1 חלקי 12 כי אני רוצה חודש אחד מתוך שנה. </t>
  </si>
  <si>
    <t xml:space="preserve">* 100 = </t>
  </si>
  <si>
    <t>יסודות המימון א - סמסטר 2025 ג - הרצאה 1 21.7.2025</t>
  </si>
  <si>
    <t>הרצאה 2 - יסודות המימון א - 28/7/2025 - המשך יישומי חישובים פיננסיים במחשבון פיננסי - ערך עתידי ונוכחי</t>
  </si>
  <si>
    <t>מצד שמאל למעלה</t>
  </si>
  <si>
    <t>פעמיים חץ למטה - ולהצביע על All</t>
  </si>
  <si>
    <t>כפתור ה-EXE נמצא מימין למעלה</t>
  </si>
  <si>
    <t>מימין באמצע</t>
  </si>
  <si>
    <t>בשורה העליונה &gt;&gt;&gt; משמאל &gt;&gt;&gt;</t>
  </si>
  <si>
    <t>רלוונטי רק לסדרות - בסכום יחיד - יהיה 0 ואז EXE</t>
  </si>
  <si>
    <t>מהו הסכום הכולל שיעמוד לרשותו של שירן בתום השנה ה-7?</t>
  </si>
  <si>
    <t>״ההפקדות בסוף כל _____״ (ברירת מחדל)</t>
  </si>
  <si>
    <t>מספר ההפקדות - כי מדובר בסדרה</t>
  </si>
  <si>
    <t>מפקידים כל חודש, 3 שנים = 3 * 12</t>
  </si>
  <si>
    <r>
      <t xml:space="preserve">הריבית </t>
    </r>
    <r>
      <rPr>
        <u/>
        <sz val="12"/>
        <color theme="1"/>
        <rFont val="David"/>
        <family val="2"/>
        <charset val="177"/>
      </rPr>
      <t>לתקופת תשלום - כי מדובר בסדרה</t>
    </r>
  </si>
  <si>
    <t>ההפקדות כל חודש - נדרשת ריבית חודשית (נתונה)</t>
  </si>
  <si>
    <t>נתון</t>
  </si>
  <si>
    <t>לצערנו מספיק ללאפה ללא שתיה</t>
  </si>
  <si>
    <t>להתנסות לבית</t>
  </si>
  <si>
    <t>לתום שנה 4</t>
  </si>
  <si>
    <t>לתום שנה 10</t>
  </si>
  <si>
    <t>לתום שנה 12</t>
  </si>
  <si>
    <t>תרגיל 8.1 - ערך עתידי של סכום יחיד בריבית משתנה התנסות כיתה</t>
  </si>
  <si>
    <t xml:space="preserve">דין הפקיד לפנסיה סכום חד פעמי של 20,000 ש״ח. </t>
  </si>
  <si>
    <t xml:space="preserve">קרן הפנסיה פועלת במסלול דינמי: כזה שתשואתו החודשית במהלך השנתיים הראשונות 1% לחודש (תשואה = ריבית), </t>
  </si>
  <si>
    <t>תשואתה השנתית במהלך 4 השנים לאחר מכן 3% לשנה;</t>
  </si>
  <si>
    <t xml:space="preserve">תשואתה החצי שנתית בכל 4 השנים לאחר מכן היא 1%. </t>
  </si>
  <si>
    <t>בהנחה שדין ימשוך את סך הצבירה בתום השנה ה-10, מהו הסכום הכולל שיעמוד לרשותו?</t>
  </si>
  <si>
    <t xml:space="preserve">תזכורת: במעבר בין החצים - </t>
  </si>
  <si>
    <t>הופכים סימן</t>
  </si>
  <si>
    <t>+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</si>
  <si>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(-)</t>
    </r>
  </si>
  <si>
    <t>שאלה להתנסות כיתה - שינויים בהפקדות</t>
  </si>
  <si>
    <t>מאי מתכננת להפקיד בתום כל חצי שנה סכום של 1,000 ש״ח במשך 4 שנים. הריבית בחסכון בתקופה זו היא 3%</t>
  </si>
  <si>
    <t>לחצי שנה.</t>
  </si>
  <si>
    <t>לאחר מכן תפקיד בתום כל רבעון במשך 6 השנים הבאות סכום של 2,000 ש״ח. הריבית בחסכון בתקופה זו היא 2%</t>
  </si>
  <si>
    <t xml:space="preserve">לרבעון. </t>
  </si>
  <si>
    <t>מהו הסכום הכולל שיעמוד לרשותה של מאי בתום 15 השנים?</t>
  </si>
  <si>
    <t>לאחר מכן תפקיד בתום כל שנה במשך 5 שנים סכום של 4,000 ש״ח (לשנה), הריבית בחסכון בתקופה זו היא 5% לשנה.</t>
  </si>
  <si>
    <t>דניאל מתכנן להפקיד בתום כל חודש סכום של 1,000 ש״ח במשך 4 שנים, לאחר מכן תחול הפסקה בהפקדות (אך צבירת</t>
  </si>
  <si>
    <t xml:space="preserve">הריבית תמשך) שנתיים נוספות. </t>
  </si>
  <si>
    <r>
      <t xml:space="preserve">הריבית </t>
    </r>
    <r>
      <rPr>
        <u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בחסכון היא בשיעור של 12.6825%.</t>
    </r>
  </si>
  <si>
    <t>מהו הסכום הכולל שיעמוד לרשותו של דניאל בתום השנה ה-6?</t>
  </si>
  <si>
    <t>המרת ריבית מתקופה לתקופה</t>
  </si>
  <si>
    <t>בשיטה ״ריבית אפקטיבית״</t>
  </si>
  <si>
    <t>חישוב מתמטי:</t>
  </si>
  <si>
    <t>[(1+12.6825%)^(1/12)-1] * 100 = 1%</t>
  </si>
  <si>
    <t>ההפקדות כאן חודשיות</t>
  </si>
  <si>
    <t>לכן זקוקים לריבית חודשית</t>
  </si>
  <si>
    <t>לכן נדרש להמירה לחודש</t>
  </si>
  <si>
    <t>ראו חישוב משמאל</t>
  </si>
  <si>
    <t>הערה:</t>
  </si>
  <si>
    <t>קוקי הפקיד 50,000 ש״ח ל-8 שנים בתוכנית חסכון הנושאת ריבית של 2% ל-3 חודשים. מהו הסכום הכולל שיעמוד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</si>
</sst>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3" formatCode="_(* #,##0.00_);_(* \(#,##0.00\);_(* &quot;-&quot;??_);_(@_)"/>
    <numFmt numFmtId="164" formatCode="0.000"/>
    <numFmt numFmtId="165" formatCode="0.00000"/>
    <numFmt numFmtId="166" formatCode="0.000%"/>
    <numFmt numFmtId="167" formatCode="0.0000%"/>
    <numFmt numFmtId="168" formatCode="0.00000%"/>
    <numFmt numFmtId="169" formatCode="0.0000"/>
    <numFmt numFmtId="170" formatCode="0.0"/>
    <numFmt numFmtId="171" formatCode="0.000000"/>
    <numFmt numFmtId="172" formatCode="0.000000%"/>
    <numFmt numFmtId="173" formatCode="_(* #,##0.000000_);_(* \(#,##0.000000\);_(* &quot;-&quot;??_);_(@_)"/>
    <numFmt numFmtId="174" formatCode="_(* #,##0.00000000_);_(* \(#,##0.00000000\);_(* &quot;-&quot;??_);_(@_)"/>
  </numFmts>
  <fonts count="31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4"/>
      <color theme="1"/>
      <name val="David"/>
      <family val="2"/>
      <charset val="177"/>
    </font>
    <font>
      <b/>
      <sz val="16"/>
      <color theme="1"/>
      <name val="David"/>
      <family val="2"/>
      <charset val="177"/>
    </font>
    <font>
      <sz val="16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8AD8"/>
      <name val="David"/>
      <family val="2"/>
      <charset val="177"/>
    </font>
    <font>
      <sz val="8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u/>
      <sz val="12"/>
      <color rgb="FFFF0000"/>
      <name val="David"/>
      <family val="2"/>
      <charset val="177"/>
    </font>
    <font>
      <b/>
      <sz val="24"/>
      <color theme="1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theme="5" tint="0.59999389629810485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name val="David"/>
      <family val="2"/>
      <charset val="177"/>
    </font>
    <font>
      <b/>
      <sz val="14"/>
      <name val="David"/>
      <family val="2"/>
      <charset val="177"/>
    </font>
  </fonts>
  <fills count="3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rgb="FFFFD579"/>
        <bgColor indexed="64"/>
      </patternFill>
    </fill>
    <fill>
      <patternFill patternType="solid">
        <fgColor rgb="FFD5FC79"/>
        <bgColor indexed="64"/>
      </patternFill>
    </fill>
    <fill>
      <patternFill patternType="solid">
        <fgColor rgb="FFD883FF"/>
        <bgColor indexed="64"/>
      </patternFill>
    </fill>
    <fill>
      <patternFill patternType="solid">
        <fgColor rgb="FFE8FFC5"/>
        <bgColor indexed="64"/>
      </patternFill>
    </fill>
    <fill>
      <patternFill patternType="solid">
        <fgColor rgb="FF73FDD6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27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3" fillId="3" borderId="0" xfId="0" applyFont="1" applyFill="1"/>
    <xf numFmtId="0" fontId="2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0" fontId="5" fillId="0" borderId="0" xfId="0" applyFont="1"/>
    <xf numFmtId="1" fontId="2" fillId="4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2" fontId="6" fillId="4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6" fillId="4" borderId="0" xfId="0" applyNumberFormat="1" applyFont="1" applyFill="1" applyAlignment="1">
      <alignment horizontal="center"/>
    </xf>
    <xf numFmtId="166" fontId="2" fillId="2" borderId="0" xfId="1" applyNumberFormat="1" applyFont="1" applyFill="1"/>
    <xf numFmtId="0" fontId="3" fillId="0" borderId="4" xfId="0" applyFont="1" applyBorder="1"/>
    <xf numFmtId="0" fontId="3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2" borderId="0" xfId="0" applyFont="1" applyFill="1"/>
    <xf numFmtId="0" fontId="2" fillId="0" borderId="4" xfId="0" applyFont="1" applyBorder="1"/>
    <xf numFmtId="0" fontId="2" fillId="0" borderId="5" xfId="0" applyFont="1" applyBorder="1"/>
    <xf numFmtId="0" fontId="4" fillId="6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4" fillId="7" borderId="0" xfId="0" applyFont="1" applyFill="1" applyAlignment="1">
      <alignment horizontal="center"/>
    </xf>
    <xf numFmtId="0" fontId="3" fillId="8" borderId="0" xfId="0" applyFont="1" applyFill="1"/>
    <xf numFmtId="2" fontId="2" fillId="0" borderId="0" xfId="0" applyNumberFormat="1" applyFont="1" applyAlignment="1">
      <alignment horizontal="center"/>
    </xf>
    <xf numFmtId="2" fontId="3" fillId="9" borderId="0" xfId="0" applyNumberFormat="1" applyFont="1" applyFill="1" applyAlignment="1">
      <alignment horizontal="center"/>
    </xf>
    <xf numFmtId="0" fontId="3" fillId="10" borderId="13" xfId="0" applyFont="1" applyFill="1" applyBorder="1"/>
    <xf numFmtId="0" fontId="2" fillId="10" borderId="13" xfId="0" applyFont="1" applyFill="1" applyBorder="1"/>
    <xf numFmtId="0" fontId="4" fillId="11" borderId="0" xfId="0" applyFont="1" applyFill="1" applyAlignment="1">
      <alignment horizontal="center"/>
    </xf>
    <xf numFmtId="2" fontId="3" fillId="2" borderId="0" xfId="0" applyNumberFormat="1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2" fontId="3" fillId="4" borderId="0" xfId="0" applyNumberFormat="1" applyFont="1" applyFill="1" applyAlignment="1">
      <alignment horizontal="center"/>
    </xf>
    <xf numFmtId="2" fontId="3" fillId="12" borderId="14" xfId="0" applyNumberFormat="1" applyFont="1" applyFill="1" applyBorder="1" applyAlignment="1">
      <alignment horizontal="center"/>
    </xf>
    <xf numFmtId="2" fontId="10" fillId="12" borderId="14" xfId="0" applyNumberFormat="1" applyFont="1" applyFill="1" applyBorder="1" applyAlignment="1">
      <alignment horizontal="center"/>
    </xf>
    <xf numFmtId="0" fontId="11" fillId="0" borderId="15" xfId="0" applyFont="1" applyBorder="1" applyAlignment="1">
      <alignment horizontal="center"/>
    </xf>
    <xf numFmtId="0" fontId="3" fillId="13" borderId="0" xfId="0" applyFont="1" applyFill="1"/>
    <xf numFmtId="0" fontId="2" fillId="14" borderId="0" xfId="0" applyFont="1" applyFill="1"/>
    <xf numFmtId="2" fontId="3" fillId="2" borderId="14" xfId="0" applyNumberFormat="1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0" borderId="13" xfId="0" applyFont="1" applyBorder="1"/>
    <xf numFmtId="0" fontId="2" fillId="0" borderId="13" xfId="0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38" fontId="2" fillId="10" borderId="0" xfId="0" applyNumberFormat="1" applyFont="1" applyFill="1" applyAlignment="1">
      <alignment horizontal="center"/>
    </xf>
    <xf numFmtId="3" fontId="2" fillId="10" borderId="0" xfId="0" applyNumberFormat="1" applyFont="1" applyFill="1" applyAlignment="1">
      <alignment horizontal="center"/>
    </xf>
    <xf numFmtId="38" fontId="10" fillId="12" borderId="0" xfId="0" applyNumberFormat="1" applyFont="1" applyFill="1" applyAlignment="1">
      <alignment horizontal="center"/>
    </xf>
    <xf numFmtId="0" fontId="2" fillId="0" borderId="13" xfId="0" applyFont="1" applyBorder="1" applyAlignment="1">
      <alignment horizontal="center" wrapText="1"/>
    </xf>
    <xf numFmtId="0" fontId="14" fillId="6" borderId="0" xfId="0" applyFont="1" applyFill="1"/>
    <xf numFmtId="4" fontId="2" fillId="10" borderId="0" xfId="0" applyNumberFormat="1" applyFont="1" applyFill="1" applyAlignment="1">
      <alignment horizontal="center"/>
    </xf>
    <xf numFmtId="40" fontId="2" fillId="2" borderId="0" xfId="0" applyNumberFormat="1" applyFont="1" applyFill="1" applyAlignment="1">
      <alignment horizontal="center"/>
    </xf>
    <xf numFmtId="40" fontId="2" fillId="10" borderId="0" xfId="0" applyNumberFormat="1" applyFont="1" applyFill="1" applyAlignment="1">
      <alignment horizontal="center"/>
    </xf>
    <xf numFmtId="4" fontId="2" fillId="2" borderId="0" xfId="0" applyNumberFormat="1" applyFont="1" applyFill="1" applyAlignment="1">
      <alignment horizontal="center"/>
    </xf>
    <xf numFmtId="40" fontId="2" fillId="15" borderId="0" xfId="0" applyNumberFormat="1" applyFont="1" applyFill="1" applyAlignment="1">
      <alignment horizontal="center"/>
    </xf>
    <xf numFmtId="4" fontId="2" fillId="15" borderId="0" xfId="0" applyNumberFormat="1" applyFont="1" applyFill="1" applyAlignment="1">
      <alignment horizontal="center"/>
    </xf>
    <xf numFmtId="40" fontId="13" fillId="9" borderId="0" xfId="0" applyNumberFormat="1" applyFont="1" applyFill="1" applyAlignment="1">
      <alignment horizontal="center"/>
    </xf>
    <xf numFmtId="0" fontId="6" fillId="0" borderId="0" xfId="0" applyFont="1" applyAlignment="1">
      <alignment horizontal="center"/>
    </xf>
    <xf numFmtId="4" fontId="2" fillId="0" borderId="0" xfId="0" applyNumberFormat="1" applyFont="1" applyAlignment="1">
      <alignment horizontal="center"/>
    </xf>
    <xf numFmtId="40" fontId="13" fillId="0" borderId="0" xfId="0" applyNumberFormat="1" applyFont="1" applyAlignment="1">
      <alignment horizontal="center"/>
    </xf>
    <xf numFmtId="40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wrapText="1"/>
    </xf>
    <xf numFmtId="0" fontId="3" fillId="2" borderId="0" xfId="0" applyFont="1" applyFill="1"/>
    <xf numFmtId="14" fontId="3" fillId="2" borderId="0" xfId="0" applyNumberFormat="1" applyFont="1" applyFill="1"/>
    <xf numFmtId="0" fontId="3" fillId="9" borderId="0" xfId="0" applyFont="1" applyFill="1"/>
    <xf numFmtId="0" fontId="9" fillId="0" borderId="0" xfId="0" applyFont="1"/>
    <xf numFmtId="0" fontId="4" fillId="6" borderId="0" xfId="0" applyFont="1" applyFill="1"/>
    <xf numFmtId="2" fontId="6" fillId="2" borderId="0" xfId="0" applyNumberFormat="1" applyFont="1" applyFill="1" applyAlignment="1">
      <alignment horizontal="center"/>
    </xf>
    <xf numFmtId="3" fontId="6" fillId="0" borderId="0" xfId="0" applyNumberFormat="1" applyFont="1" applyAlignment="1">
      <alignment horizontal="center"/>
    </xf>
    <xf numFmtId="0" fontId="2" fillId="9" borderId="0" xfId="0" applyFont="1" applyFill="1"/>
    <xf numFmtId="165" fontId="20" fillId="3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1" fontId="20" fillId="3" borderId="0" xfId="0" applyNumberFormat="1" applyFont="1" applyFill="1" applyAlignment="1">
      <alignment horizontal="center"/>
    </xf>
    <xf numFmtId="3" fontId="2" fillId="0" borderId="0" xfId="0" applyNumberFormat="1" applyFont="1"/>
    <xf numFmtId="14" fontId="2" fillId="0" borderId="0" xfId="0" applyNumberFormat="1" applyFont="1"/>
    <xf numFmtId="0" fontId="2" fillId="16" borderId="0" xfId="0" applyFont="1" applyFill="1"/>
    <xf numFmtId="0" fontId="3" fillId="16" borderId="0" xfId="0" applyFont="1" applyFill="1"/>
    <xf numFmtId="0" fontId="3" fillId="10" borderId="0" xfId="0" applyFont="1" applyFill="1"/>
    <xf numFmtId="0" fontId="2" fillId="2" borderId="0" xfId="0" applyFont="1" applyFill="1" applyAlignment="1">
      <alignment horizontal="center"/>
    </xf>
    <xf numFmtId="0" fontId="4" fillId="17" borderId="0" xfId="0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2" fontId="3" fillId="10" borderId="0" xfId="0" applyNumberFormat="1" applyFont="1" applyFill="1" applyAlignment="1">
      <alignment horizontal="center"/>
    </xf>
    <xf numFmtId="2" fontId="3" fillId="3" borderId="12" xfId="0" applyNumberFormat="1" applyFont="1" applyFill="1" applyBorder="1" applyAlignment="1">
      <alignment horizontal="center"/>
    </xf>
    <xf numFmtId="2" fontId="12" fillId="3" borderId="12" xfId="0" applyNumberFormat="1" applyFont="1" applyFill="1" applyBorder="1" applyAlignment="1">
      <alignment horizontal="center"/>
    </xf>
    <xf numFmtId="0" fontId="2" fillId="10" borderId="0" xfId="0" applyFont="1" applyFill="1"/>
    <xf numFmtId="37" fontId="2" fillId="0" borderId="0" xfId="0" applyNumberFormat="1" applyFont="1"/>
    <xf numFmtId="37" fontId="2" fillId="0" borderId="17" xfId="0" applyNumberFormat="1" applyFont="1" applyBorder="1"/>
    <xf numFmtId="167" fontId="2" fillId="0" borderId="0" xfId="1" applyNumberFormat="1" applyFont="1"/>
    <xf numFmtId="167" fontId="2" fillId="2" borderId="0" xfId="0" applyNumberFormat="1" applyFont="1" applyFill="1" applyAlignment="1">
      <alignment horizontal="center"/>
    </xf>
    <xf numFmtId="166" fontId="2" fillId="3" borderId="0" xfId="1" applyNumberFormat="1" applyFont="1" applyFill="1"/>
    <xf numFmtId="0" fontId="2" fillId="0" borderId="1" xfId="0" applyFont="1" applyBorder="1"/>
    <xf numFmtId="0" fontId="2" fillId="0" borderId="2" xfId="0" applyFont="1" applyBorder="1" applyAlignment="1">
      <alignment horizontal="center"/>
    </xf>
    <xf numFmtId="168" fontId="2" fillId="2" borderId="0" xfId="0" applyNumberFormat="1" applyFont="1" applyFill="1" applyAlignment="1">
      <alignment horizontal="center"/>
    </xf>
    <xf numFmtId="166" fontId="2" fillId="0" borderId="3" xfId="1" applyNumberFormat="1" applyFont="1" applyBorder="1"/>
    <xf numFmtId="0" fontId="2" fillId="0" borderId="0" xfId="0" quotePrefix="1" applyFont="1"/>
    <xf numFmtId="10" fontId="2" fillId="2" borderId="0" xfId="1" applyNumberFormat="1" applyFont="1" applyFill="1"/>
    <xf numFmtId="167" fontId="2" fillId="3" borderId="0" xfId="1" applyNumberFormat="1" applyFont="1" applyFill="1"/>
    <xf numFmtId="3" fontId="2" fillId="2" borderId="0" xfId="0" applyNumberFormat="1" applyFont="1" applyFill="1" applyAlignment="1">
      <alignment horizontal="center"/>
    </xf>
    <xf numFmtId="3" fontId="2" fillId="2" borderId="12" xfId="0" applyNumberFormat="1" applyFont="1" applyFill="1" applyBorder="1" applyAlignment="1">
      <alignment horizontal="center"/>
    </xf>
    <xf numFmtId="3" fontId="3" fillId="0" borderId="0" xfId="0" applyNumberFormat="1" applyFont="1"/>
    <xf numFmtId="0" fontId="21" fillId="0" borderId="13" xfId="0" applyFont="1" applyBorder="1" applyAlignment="1">
      <alignment horizontal="center"/>
    </xf>
    <xf numFmtId="3" fontId="2" fillId="0" borderId="18" xfId="0" applyNumberFormat="1" applyFont="1" applyBorder="1" applyAlignment="1">
      <alignment horizontal="center"/>
    </xf>
    <xf numFmtId="0" fontId="2" fillId="6" borderId="0" xfId="0" applyFont="1" applyFill="1"/>
    <xf numFmtId="3" fontId="2" fillId="6" borderId="0" xfId="0" applyNumberFormat="1" applyFont="1" applyFill="1"/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right"/>
    </xf>
    <xf numFmtId="169" fontId="2" fillId="0" borderId="0" xfId="0" applyNumberFormat="1" applyFont="1" applyAlignment="1">
      <alignment horizontal="center"/>
    </xf>
    <xf numFmtId="170" fontId="2" fillId="0" borderId="0" xfId="0" applyNumberFormat="1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/>
    <xf numFmtId="3" fontId="2" fillId="0" borderId="17" xfId="0" applyNumberFormat="1" applyFont="1" applyBorder="1"/>
    <xf numFmtId="0" fontId="3" fillId="0" borderId="6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1" xfId="0" applyFont="1" applyBorder="1"/>
    <xf numFmtId="0" fontId="19" fillId="0" borderId="0" xfId="0" applyFont="1"/>
    <xf numFmtId="0" fontId="19" fillId="0" borderId="13" xfId="0" applyFont="1" applyBorder="1" applyAlignment="1">
      <alignment horizontal="center"/>
    </xf>
    <xf numFmtId="169" fontId="2" fillId="15" borderId="0" xfId="0" applyNumberFormat="1" applyFont="1" applyFill="1" applyAlignment="1">
      <alignment horizontal="center"/>
    </xf>
    <xf numFmtId="10" fontId="2" fillId="2" borderId="12" xfId="1" applyNumberFormat="1" applyFont="1" applyFill="1" applyBorder="1" applyAlignment="1">
      <alignment horizontal="center"/>
    </xf>
    <xf numFmtId="0" fontId="10" fillId="15" borderId="0" xfId="0" applyFont="1" applyFill="1"/>
    <xf numFmtId="0" fontId="3" fillId="18" borderId="0" xfId="0" applyFont="1" applyFill="1"/>
    <xf numFmtId="2" fontId="2" fillId="0" borderId="0" xfId="0" applyNumberFormat="1" applyFont="1"/>
    <xf numFmtId="0" fontId="2" fillId="19" borderId="0" xfId="0" applyFont="1" applyFill="1"/>
    <xf numFmtId="0" fontId="0" fillId="0" borderId="0" xfId="0" applyAlignment="1">
      <alignment horizontal="center"/>
    </xf>
    <xf numFmtId="2" fontId="0" fillId="2" borderId="0" xfId="0" applyNumberFormat="1" applyFill="1" applyAlignment="1">
      <alignment horizontal="center"/>
    </xf>
    <xf numFmtId="2" fontId="0" fillId="16" borderId="0" xfId="0" applyNumberFormat="1" applyFill="1" applyAlignment="1">
      <alignment horizontal="center"/>
    </xf>
    <xf numFmtId="14" fontId="2" fillId="2" borderId="0" xfId="0" applyNumberFormat="1" applyFont="1" applyFill="1"/>
    <xf numFmtId="10" fontId="2" fillId="0" borderId="0" xfId="1" applyNumberFormat="1" applyFont="1"/>
    <xf numFmtId="166" fontId="2" fillId="0" borderId="0" xfId="1" applyNumberFormat="1" applyFont="1"/>
    <xf numFmtId="167" fontId="2" fillId="2" borderId="0" xfId="1" applyNumberFormat="1" applyFont="1" applyFill="1"/>
    <xf numFmtId="0" fontId="2" fillId="0" borderId="10" xfId="0" applyFont="1" applyBorder="1" applyAlignment="1">
      <alignment horizontal="center"/>
    </xf>
    <xf numFmtId="2" fontId="2" fillId="2" borderId="0" xfId="0" applyNumberFormat="1" applyFont="1" applyFill="1"/>
    <xf numFmtId="0" fontId="2" fillId="0" borderId="19" xfId="0" applyFont="1" applyBorder="1"/>
    <xf numFmtId="0" fontId="2" fillId="6" borderId="19" xfId="0" applyFont="1" applyFill="1" applyBorder="1"/>
    <xf numFmtId="3" fontId="2" fillId="0" borderId="19" xfId="0" applyNumberFormat="1" applyFont="1" applyBorder="1"/>
    <xf numFmtId="0" fontId="2" fillId="20" borderId="0" xfId="0" applyFont="1" applyFill="1"/>
    <xf numFmtId="2" fontId="2" fillId="2" borderId="12" xfId="0" applyNumberFormat="1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165" fontId="6" fillId="0" borderId="0" xfId="0" applyNumberFormat="1" applyFont="1" applyAlignment="1">
      <alignment horizontal="center"/>
    </xf>
    <xf numFmtId="9" fontId="2" fillId="0" borderId="0" xfId="0" applyNumberFormat="1" applyFont="1"/>
    <xf numFmtId="0" fontId="2" fillId="21" borderId="0" xfId="0" applyFont="1" applyFill="1"/>
    <xf numFmtId="0" fontId="2" fillId="21" borderId="0" xfId="0" applyFont="1" applyFill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4" fillId="0" borderId="0" xfId="0" applyFont="1"/>
    <xf numFmtId="0" fontId="2" fillId="0" borderId="20" xfId="0" applyFont="1" applyBorder="1" applyAlignment="1">
      <alignment horizontal="center"/>
    </xf>
    <xf numFmtId="0" fontId="25" fillId="0" borderId="0" xfId="0" applyFont="1"/>
    <xf numFmtId="164" fontId="2" fillId="2" borderId="0" xfId="0" applyNumberFormat="1" applyFont="1" applyFill="1" applyAlignment="1">
      <alignment horizontal="center"/>
    </xf>
    <xf numFmtId="0" fontId="3" fillId="0" borderId="13" xfId="0" applyFont="1" applyBorder="1"/>
    <xf numFmtId="0" fontId="3" fillId="0" borderId="13" xfId="0" applyFont="1" applyBorder="1" applyAlignment="1">
      <alignment horizontal="center"/>
    </xf>
    <xf numFmtId="0" fontId="2" fillId="15" borderId="0" xfId="0" applyFont="1" applyFill="1"/>
    <xf numFmtId="16" fontId="2" fillId="15" borderId="0" xfId="0" applyNumberFormat="1" applyFont="1" applyFill="1" applyAlignment="1">
      <alignment horizontal="center"/>
    </xf>
    <xf numFmtId="0" fontId="2" fillId="15" borderId="0" xfId="0" applyFont="1" applyFill="1" applyAlignment="1">
      <alignment horizontal="center"/>
    </xf>
    <xf numFmtId="0" fontId="2" fillId="22" borderId="0" xfId="0" applyFont="1" applyFill="1"/>
    <xf numFmtId="16" fontId="2" fillId="22" borderId="0" xfId="0" applyNumberFormat="1" applyFont="1" applyFill="1" applyAlignment="1">
      <alignment horizontal="center"/>
    </xf>
    <xf numFmtId="0" fontId="2" fillId="22" borderId="0" xfId="0" applyFont="1" applyFill="1" applyAlignment="1">
      <alignment horizontal="center"/>
    </xf>
    <xf numFmtId="0" fontId="2" fillId="23" borderId="0" xfId="0" applyFont="1" applyFill="1"/>
    <xf numFmtId="0" fontId="2" fillId="23" borderId="0" xfId="0" applyFont="1" applyFill="1" applyAlignment="1">
      <alignment horizontal="center"/>
    </xf>
    <xf numFmtId="0" fontId="2" fillId="24" borderId="0" xfId="0" applyFont="1" applyFill="1"/>
    <xf numFmtId="0" fontId="2" fillId="24" borderId="0" xfId="0" applyFont="1" applyFill="1" applyAlignment="1">
      <alignment horizontal="center"/>
    </xf>
    <xf numFmtId="0" fontId="2" fillId="25" borderId="0" xfId="0" applyFont="1" applyFill="1"/>
    <xf numFmtId="0" fontId="2" fillId="25" borderId="0" xfId="0" applyFont="1" applyFill="1" applyAlignment="1">
      <alignment horizontal="center"/>
    </xf>
    <xf numFmtId="0" fontId="2" fillId="26" borderId="0" xfId="0" applyFont="1" applyFill="1"/>
    <xf numFmtId="0" fontId="2" fillId="26" borderId="0" xfId="0" applyFont="1" applyFill="1" applyAlignment="1">
      <alignment horizontal="center"/>
    </xf>
    <xf numFmtId="0" fontId="2" fillId="27" borderId="0" xfId="0" applyFont="1" applyFill="1"/>
    <xf numFmtId="0" fontId="2" fillId="27" borderId="0" xfId="0" applyFont="1" applyFill="1" applyAlignment="1">
      <alignment horizontal="center"/>
    </xf>
    <xf numFmtId="0" fontId="3" fillId="15" borderId="0" xfId="0" applyFont="1" applyFill="1"/>
    <xf numFmtId="171" fontId="2" fillId="0" borderId="0" xfId="0" applyNumberFormat="1" applyFont="1" applyAlignment="1">
      <alignment horizontal="center"/>
    </xf>
    <xf numFmtId="2" fontId="2" fillId="10" borderId="0" xfId="0" applyNumberFormat="1" applyFont="1" applyFill="1" applyAlignment="1">
      <alignment horizontal="center"/>
    </xf>
    <xf numFmtId="2" fontId="2" fillId="18" borderId="0" xfId="0" applyNumberFormat="1" applyFont="1" applyFill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0" fontId="27" fillId="0" borderId="13" xfId="0" applyFont="1" applyBorder="1" applyAlignment="1">
      <alignment horizontal="center"/>
    </xf>
    <xf numFmtId="0" fontId="27" fillId="0" borderId="13" xfId="0" applyFont="1" applyBorder="1"/>
    <xf numFmtId="0" fontId="26" fillId="23" borderId="0" xfId="0" applyFont="1" applyFill="1"/>
    <xf numFmtId="0" fontId="20" fillId="23" borderId="0" xfId="0" applyFont="1" applyFill="1"/>
    <xf numFmtId="171" fontId="2" fillId="24" borderId="0" xfId="0" applyNumberFormat="1" applyFont="1" applyFill="1"/>
    <xf numFmtId="167" fontId="3" fillId="0" borderId="0" xfId="1" applyNumberFormat="1" applyFont="1"/>
    <xf numFmtId="166" fontId="2" fillId="0" borderId="0" xfId="0" applyNumberFormat="1" applyFont="1"/>
    <xf numFmtId="0" fontId="2" fillId="0" borderId="16" xfId="0" applyFont="1" applyBorder="1" applyAlignment="1">
      <alignment horizontal="center"/>
    </xf>
    <xf numFmtId="0" fontId="6" fillId="0" borderId="0" xfId="0" applyFont="1"/>
    <xf numFmtId="0" fontId="20" fillId="0" borderId="0" xfId="0" applyFont="1"/>
    <xf numFmtId="1" fontId="6" fillId="4" borderId="0" xfId="0" applyNumberFormat="1" applyFont="1" applyFill="1" applyAlignment="1">
      <alignment horizontal="center"/>
    </xf>
    <xf numFmtId="164" fontId="6" fillId="4" borderId="0" xfId="0" applyNumberFormat="1" applyFont="1" applyFill="1" applyAlignment="1">
      <alignment horizontal="center"/>
    </xf>
    <xf numFmtId="0" fontId="15" fillId="0" borderId="0" xfId="0" applyFont="1"/>
    <xf numFmtId="0" fontId="28" fillId="0" borderId="0" xfId="0" applyFont="1"/>
    <xf numFmtId="0" fontId="2" fillId="3" borderId="0" xfId="0" applyFont="1" applyFill="1"/>
    <xf numFmtId="172" fontId="2" fillId="0" borderId="0" xfId="1" applyNumberFormat="1" applyFont="1"/>
    <xf numFmtId="173" fontId="2" fillId="0" borderId="0" xfId="2" applyNumberFormat="1" applyFont="1"/>
    <xf numFmtId="174" fontId="2" fillId="0" borderId="0" xfId="2" applyNumberFormat="1" applyFont="1"/>
    <xf numFmtId="2" fontId="2" fillId="28" borderId="0" xfId="0" applyNumberFormat="1" applyFont="1" applyFill="1"/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 vertical="center"/>
    </xf>
    <xf numFmtId="10" fontId="2" fillId="0" borderId="0" xfId="1" applyNumberFormat="1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9" fillId="0" borderId="14" xfId="0" applyFont="1" applyBorder="1" applyAlignment="1">
      <alignment horizontal="center" wrapText="1"/>
    </xf>
    <xf numFmtId="0" fontId="19" fillId="0" borderId="16" xfId="0" applyFont="1" applyBorder="1" applyAlignment="1">
      <alignment horizontal="center"/>
    </xf>
    <xf numFmtId="0" fontId="19" fillId="0" borderId="15" xfId="0" applyFont="1" applyBorder="1" applyAlignment="1">
      <alignment horizontal="center"/>
    </xf>
    <xf numFmtId="0" fontId="2" fillId="0" borderId="4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9" borderId="19" xfId="0" applyFont="1" applyFill="1" applyBorder="1" applyAlignment="1">
      <alignment horizontal="center"/>
    </xf>
    <xf numFmtId="0" fontId="2" fillId="4" borderId="19" xfId="0" applyFont="1" applyFill="1" applyBorder="1" applyAlignment="1">
      <alignment horizontal="center"/>
    </xf>
    <xf numFmtId="3" fontId="2" fillId="2" borderId="0" xfId="0" applyNumberFormat="1" applyFont="1" applyFill="1" applyAlignment="1">
      <alignment horizontal="center" vertical="center"/>
    </xf>
    <xf numFmtId="0" fontId="2" fillId="26" borderId="4" xfId="0" applyFont="1" applyFill="1" applyBorder="1" applyAlignment="1">
      <alignment horizontal="center" vertical="center"/>
    </xf>
    <xf numFmtId="0" fontId="2" fillId="26" borderId="6" xfId="0" applyFont="1" applyFill="1" applyBorder="1" applyAlignment="1">
      <alignment horizontal="center" vertical="center"/>
    </xf>
    <xf numFmtId="0" fontId="2" fillId="26" borderId="9" xfId="0" applyFont="1" applyFill="1" applyBorder="1" applyAlignment="1">
      <alignment horizontal="center" vertical="center"/>
    </xf>
    <xf numFmtId="0" fontId="2" fillId="26" borderId="11" xfId="0" applyFont="1" applyFill="1" applyBorder="1" applyAlignment="1">
      <alignment horizontal="center" vertical="center"/>
    </xf>
    <xf numFmtId="0" fontId="2" fillId="27" borderId="4" xfId="0" applyFont="1" applyFill="1" applyBorder="1" applyAlignment="1">
      <alignment horizontal="center" vertical="center"/>
    </xf>
    <xf numFmtId="0" fontId="2" fillId="27" borderId="6" xfId="0" applyFont="1" applyFill="1" applyBorder="1" applyAlignment="1">
      <alignment horizontal="center" vertical="center"/>
    </xf>
    <xf numFmtId="0" fontId="2" fillId="27" borderId="9" xfId="0" applyFont="1" applyFill="1" applyBorder="1" applyAlignment="1">
      <alignment horizontal="center" vertical="center"/>
    </xf>
    <xf numFmtId="0" fontId="2" fillId="27" borderId="11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2" fontId="2" fillId="25" borderId="0" xfId="0" applyNumberFormat="1" applyFont="1" applyFill="1" applyAlignment="1">
      <alignment horizontal="center" vertical="center"/>
    </xf>
    <xf numFmtId="0" fontId="2" fillId="15" borderId="4" xfId="0" applyFont="1" applyFill="1" applyBorder="1" applyAlignment="1">
      <alignment horizontal="center" vertical="center" wrapText="1"/>
    </xf>
    <xf numFmtId="0" fontId="2" fillId="15" borderId="6" xfId="0" applyFont="1" applyFill="1" applyBorder="1" applyAlignment="1">
      <alignment horizontal="center" vertical="center"/>
    </xf>
    <xf numFmtId="0" fontId="2" fillId="15" borderId="7" xfId="0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0" fontId="2" fillId="15" borderId="9" xfId="0" applyFont="1" applyFill="1" applyBorder="1" applyAlignment="1">
      <alignment horizontal="center" vertical="center"/>
    </xf>
    <xf numFmtId="0" fontId="2" fillId="15" borderId="11" xfId="0" applyFont="1" applyFill="1" applyBorder="1" applyAlignment="1">
      <alignment horizontal="center" vertical="center"/>
    </xf>
    <xf numFmtId="0" fontId="2" fillId="22" borderId="4" xfId="0" applyFont="1" applyFill="1" applyBorder="1" applyAlignment="1">
      <alignment horizontal="center" vertical="center" wrapText="1"/>
    </xf>
    <xf numFmtId="0" fontId="2" fillId="22" borderId="6" xfId="0" applyFont="1" applyFill="1" applyBorder="1" applyAlignment="1">
      <alignment horizontal="center" vertical="center"/>
    </xf>
    <xf numFmtId="0" fontId="2" fillId="22" borderId="7" xfId="0" applyFont="1" applyFill="1" applyBorder="1" applyAlignment="1">
      <alignment horizontal="center" vertical="center"/>
    </xf>
    <xf numFmtId="0" fontId="2" fillId="22" borderId="8" xfId="0" applyFont="1" applyFill="1" applyBorder="1" applyAlignment="1">
      <alignment horizontal="center" vertical="center"/>
    </xf>
    <xf numFmtId="0" fontId="2" fillId="22" borderId="9" xfId="0" applyFont="1" applyFill="1" applyBorder="1" applyAlignment="1">
      <alignment horizontal="center" vertical="center"/>
    </xf>
    <xf numFmtId="0" fontId="2" fillId="22" borderId="11" xfId="0" applyFont="1" applyFill="1" applyBorder="1" applyAlignment="1">
      <alignment horizontal="center" vertical="center"/>
    </xf>
    <xf numFmtId="0" fontId="2" fillId="23" borderId="4" xfId="0" applyFont="1" applyFill="1" applyBorder="1" applyAlignment="1">
      <alignment horizontal="center" vertical="center" wrapText="1"/>
    </xf>
    <xf numFmtId="0" fontId="2" fillId="23" borderId="6" xfId="0" applyFont="1" applyFill="1" applyBorder="1" applyAlignment="1">
      <alignment horizontal="center" vertical="center" wrapText="1"/>
    </xf>
    <xf numFmtId="0" fontId="2" fillId="23" borderId="7" xfId="0" applyFont="1" applyFill="1" applyBorder="1" applyAlignment="1">
      <alignment horizontal="center" vertical="center" wrapText="1"/>
    </xf>
    <xf numFmtId="0" fontId="2" fillId="23" borderId="8" xfId="0" applyFont="1" applyFill="1" applyBorder="1" applyAlignment="1">
      <alignment horizontal="center" vertical="center" wrapText="1"/>
    </xf>
    <xf numFmtId="0" fontId="2" fillId="23" borderId="9" xfId="0" applyFont="1" applyFill="1" applyBorder="1" applyAlignment="1">
      <alignment horizontal="center" vertical="center" wrapText="1"/>
    </xf>
    <xf numFmtId="0" fontId="2" fillId="23" borderId="11" xfId="0" applyFont="1" applyFill="1" applyBorder="1" applyAlignment="1">
      <alignment horizontal="center" vertical="center" wrapText="1"/>
    </xf>
    <xf numFmtId="0" fontId="2" fillId="24" borderId="1" xfId="0" applyFont="1" applyFill="1" applyBorder="1" applyAlignment="1">
      <alignment horizontal="center"/>
    </xf>
    <xf numFmtId="0" fontId="2" fillId="24" borderId="3" xfId="0" applyFont="1" applyFill="1" applyBorder="1" applyAlignment="1">
      <alignment horizontal="center"/>
    </xf>
    <xf numFmtId="0" fontId="2" fillId="25" borderId="4" xfId="0" applyFont="1" applyFill="1" applyBorder="1" applyAlignment="1">
      <alignment horizontal="center" vertical="center" wrapText="1"/>
    </xf>
    <xf numFmtId="0" fontId="2" fillId="25" borderId="6" xfId="0" applyFont="1" applyFill="1" applyBorder="1" applyAlignment="1">
      <alignment horizontal="center" vertical="center"/>
    </xf>
    <xf numFmtId="0" fontId="2" fillId="25" borderId="7" xfId="0" applyFont="1" applyFill="1" applyBorder="1" applyAlignment="1">
      <alignment horizontal="center" vertical="center"/>
    </xf>
    <xf numFmtId="0" fontId="2" fillId="25" borderId="8" xfId="0" applyFont="1" applyFill="1" applyBorder="1" applyAlignment="1">
      <alignment horizontal="center" vertical="center"/>
    </xf>
    <xf numFmtId="0" fontId="2" fillId="25" borderId="9" xfId="0" applyFont="1" applyFill="1" applyBorder="1" applyAlignment="1">
      <alignment horizontal="center" vertical="center"/>
    </xf>
    <xf numFmtId="0" fontId="2" fillId="25" borderId="11" xfId="0" applyFont="1" applyFill="1" applyBorder="1" applyAlignment="1">
      <alignment horizontal="center" vertical="center"/>
    </xf>
    <xf numFmtId="2" fontId="20" fillId="9" borderId="0" xfId="0" applyNumberFormat="1" applyFont="1" applyFill="1" applyAlignment="1">
      <alignment horizontal="center"/>
    </xf>
    <xf numFmtId="0" fontId="6" fillId="7" borderId="0" xfId="0" applyFont="1" applyFill="1" applyAlignment="1">
      <alignment horizontal="center"/>
    </xf>
    <xf numFmtId="0" fontId="5" fillId="8" borderId="0" xfId="0" applyFont="1" applyFill="1"/>
    <xf numFmtId="2" fontId="20" fillId="2" borderId="0" xfId="0" applyNumberFormat="1" applyFont="1" applyFill="1" applyAlignment="1">
      <alignment horizontal="center"/>
    </xf>
    <xf numFmtId="2" fontId="29" fillId="29" borderId="12" xfId="0" applyNumberFormat="1" applyFont="1" applyFill="1" applyBorder="1" applyAlignment="1">
      <alignment horizontal="center"/>
    </xf>
    <xf numFmtId="0" fontId="2" fillId="30" borderId="0" xfId="0" applyFont="1" applyFill="1"/>
    <xf numFmtId="0" fontId="3" fillId="30" borderId="0" xfId="0" applyFont="1" applyFill="1"/>
    <xf numFmtId="4" fontId="2" fillId="3" borderId="0" xfId="0" applyNumberFormat="1" applyFont="1" applyFill="1" applyAlignment="1">
      <alignment horizontal="center"/>
    </xf>
    <xf numFmtId="2" fontId="20" fillId="4" borderId="0" xfId="0" applyNumberFormat="1" applyFont="1" applyFill="1" applyAlignment="1">
      <alignment horizontal="center"/>
    </xf>
    <xf numFmtId="2" fontId="30" fillId="12" borderId="14" xfId="0" applyNumberFormat="1" applyFont="1" applyFill="1" applyBorder="1" applyAlignment="1">
      <alignment horizontal="center"/>
    </xf>
    <xf numFmtId="0" fontId="2" fillId="13" borderId="0" xfId="0" applyFont="1" applyFill="1"/>
    <xf numFmtId="4" fontId="2" fillId="13" borderId="0" xfId="0" applyNumberFormat="1" applyFont="1" applyFill="1" applyAlignment="1">
      <alignment horizontal="center"/>
    </xf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73FDD6"/>
      <color rgb="FFD883FF"/>
      <color rgb="FFD5FC79"/>
      <color rgb="FFFFD579"/>
      <color rgb="FFE8FFC5"/>
      <color rgb="FF929000"/>
      <color rgb="FF8EFA00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jpeg"/><Relationship Id="rId3" Type="http://schemas.openxmlformats.org/officeDocument/2006/relationships/image" Target="../media/image16.png"/><Relationship Id="rId7" Type="http://schemas.openxmlformats.org/officeDocument/2006/relationships/image" Target="../media/image20.jpe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jpeg"/><Relationship Id="rId5" Type="http://schemas.openxmlformats.org/officeDocument/2006/relationships/image" Target="../media/image18.png"/><Relationship Id="rId10" Type="http://schemas.openxmlformats.org/officeDocument/2006/relationships/image" Target="../media/image23.jpeg"/><Relationship Id="rId4" Type="http://schemas.openxmlformats.org/officeDocument/2006/relationships/image" Target="../media/image17.png"/><Relationship Id="rId9" Type="http://schemas.openxmlformats.org/officeDocument/2006/relationships/image" Target="../media/image22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444427</xdr:colOff>
      <xdr:row>17</xdr:row>
      <xdr:rowOff>188275</xdr:rowOff>
    </xdr:from>
    <xdr:to>
      <xdr:col>7</xdr:col>
      <xdr:colOff>754635</xdr:colOff>
      <xdr:row>27</xdr:row>
      <xdr:rowOff>192124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C4ED32-5308-50BF-FBE9-359FC6A3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049651" y="3703881"/>
          <a:ext cx="1135194" cy="2023526"/>
        </a:xfrm>
        <a:prstGeom prst="rect">
          <a:avLst/>
        </a:prstGeom>
      </xdr:spPr>
    </xdr:pic>
    <xdr:clientData/>
  </xdr:twoCellAnchor>
  <xdr:twoCellAnchor editAs="oneCell">
    <xdr:from>
      <xdr:col>6</xdr:col>
      <xdr:colOff>503195</xdr:colOff>
      <xdr:row>0</xdr:row>
      <xdr:rowOff>61617</xdr:rowOff>
    </xdr:from>
    <xdr:to>
      <xdr:col>7</xdr:col>
      <xdr:colOff>671629</xdr:colOff>
      <xdr:row>4</xdr:row>
      <xdr:rowOff>172528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59B1B4-0DD6-A026-9CD5-B0BD77063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8920371" y="61617"/>
          <a:ext cx="992735" cy="916043"/>
        </a:xfrm>
        <a:prstGeom prst="rect">
          <a:avLst/>
        </a:prstGeom>
      </xdr:spPr>
    </xdr:pic>
    <xdr:clientData/>
  </xdr:twoCellAnchor>
  <xdr:twoCellAnchor>
    <xdr:from>
      <xdr:col>1</xdr:col>
      <xdr:colOff>359434</xdr:colOff>
      <xdr:row>43</xdr:row>
      <xdr:rowOff>30809</xdr:rowOff>
    </xdr:from>
    <xdr:to>
      <xdr:col>1</xdr:col>
      <xdr:colOff>405153</xdr:colOff>
      <xdr:row>44</xdr:row>
      <xdr:rowOff>184852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78BB7689-64E5-2B72-EFF7-C4F4D86A42F6}"/>
            </a:ext>
          </a:extLst>
        </xdr:cNvPr>
        <xdr:cNvSpPr/>
      </xdr:nvSpPr>
      <xdr:spPr>
        <a:xfrm>
          <a:off x="13515349051" y="8824960"/>
          <a:ext cx="45719" cy="35601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14261</xdr:colOff>
      <xdr:row>43</xdr:row>
      <xdr:rowOff>36652</xdr:rowOff>
    </xdr:from>
    <xdr:to>
      <xdr:col>6</xdr:col>
      <xdr:colOff>59980</xdr:colOff>
      <xdr:row>44</xdr:row>
      <xdr:rowOff>190695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D4CC5D4C-BB51-48AB-B3CC-39C73C7D7BAC}"/>
            </a:ext>
          </a:extLst>
        </xdr:cNvPr>
        <xdr:cNvSpPr/>
      </xdr:nvSpPr>
      <xdr:spPr>
        <a:xfrm>
          <a:off x="13538440612" y="8851504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325617</xdr:colOff>
      <xdr:row>50</xdr:row>
      <xdr:rowOff>15780</xdr:rowOff>
    </xdr:from>
    <xdr:to>
      <xdr:col>1</xdr:col>
      <xdr:colOff>371336</xdr:colOff>
      <xdr:row>51</xdr:row>
      <xdr:rowOff>169823</xdr:rowOff>
    </xdr:to>
    <xdr:sp macro="" textlink="">
      <xdr:nvSpPr>
        <xdr:cNvPr id="8" name="Down Arrow 7">
          <a:extLst>
            <a:ext uri="{FF2B5EF4-FFF2-40B4-BE49-F238E27FC236}">
              <a16:creationId xmlns:a16="http://schemas.microsoft.com/office/drawing/2014/main" id="{40EEF300-DA30-DDEC-CC38-271229815BE8}"/>
            </a:ext>
          </a:extLst>
        </xdr:cNvPr>
        <xdr:cNvSpPr/>
      </xdr:nvSpPr>
      <xdr:spPr>
        <a:xfrm>
          <a:off x="13542262392" y="10250928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127363</xdr:colOff>
      <xdr:row>78</xdr:row>
      <xdr:rowOff>58223</xdr:rowOff>
    </xdr:from>
    <xdr:to>
      <xdr:col>3</xdr:col>
      <xdr:colOff>214699</xdr:colOff>
      <xdr:row>79</xdr:row>
      <xdr:rowOff>141920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33C1D73-1CEE-B622-6F77-14104D50D24B}"/>
            </a:ext>
          </a:extLst>
        </xdr:cNvPr>
        <xdr:cNvSpPr/>
      </xdr:nvSpPr>
      <xdr:spPr>
        <a:xfrm>
          <a:off x="13531242292" y="1604057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189226</xdr:colOff>
      <xdr:row>81</xdr:row>
      <xdr:rowOff>80058</xdr:rowOff>
    </xdr:from>
    <xdr:to>
      <xdr:col>2</xdr:col>
      <xdr:colOff>276562</xdr:colOff>
      <xdr:row>82</xdr:row>
      <xdr:rowOff>163754</xdr:rowOff>
    </xdr:to>
    <xdr:sp macro="" textlink="">
      <xdr:nvSpPr>
        <xdr:cNvPr id="10" name="Down Arrow 9">
          <a:extLst>
            <a:ext uri="{FF2B5EF4-FFF2-40B4-BE49-F238E27FC236}">
              <a16:creationId xmlns:a16="http://schemas.microsoft.com/office/drawing/2014/main" id="{CF1A4E2A-D930-01A3-4002-6394425C68DA}"/>
            </a:ext>
          </a:extLst>
        </xdr:cNvPr>
        <xdr:cNvSpPr/>
      </xdr:nvSpPr>
      <xdr:spPr>
        <a:xfrm>
          <a:off x="13532006475" y="16673754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232894</xdr:colOff>
      <xdr:row>81</xdr:row>
      <xdr:rowOff>47307</xdr:rowOff>
    </xdr:from>
    <xdr:to>
      <xdr:col>5</xdr:col>
      <xdr:colOff>320230</xdr:colOff>
      <xdr:row>82</xdr:row>
      <xdr:rowOff>131003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A6C82EBA-0F16-93CA-1267-42D0F954FECC}"/>
            </a:ext>
          </a:extLst>
        </xdr:cNvPr>
        <xdr:cNvSpPr/>
      </xdr:nvSpPr>
      <xdr:spPr>
        <a:xfrm>
          <a:off x="13529484670" y="1664100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240172</xdr:colOff>
      <xdr:row>85</xdr:row>
      <xdr:rowOff>21835</xdr:rowOff>
    </xdr:from>
    <xdr:to>
      <xdr:col>5</xdr:col>
      <xdr:colOff>327508</xdr:colOff>
      <xdr:row>86</xdr:row>
      <xdr:rowOff>105532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C8E8306E-A17C-7C23-B65A-B4B3392227E4}"/>
            </a:ext>
          </a:extLst>
        </xdr:cNvPr>
        <xdr:cNvSpPr/>
      </xdr:nvSpPr>
      <xdr:spPr>
        <a:xfrm>
          <a:off x="13529477392" y="17430660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541046</xdr:colOff>
      <xdr:row>187</xdr:row>
      <xdr:rowOff>90325</xdr:rowOff>
    </xdr:from>
    <xdr:ext cx="3418033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rgbClr val="00B050"/>
                                </a:solidFill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𝑀𝑂𝑁𝑇𝐻𝐿𝑌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𝐼%_𝐴𝑁𝑁𝑈𝐴𝐿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𝐼%_𝑀𝑂𝑁𝑇𝐻𝐿𝑌 )^</a:t>
              </a:r>
              <a:r>
                <a:rPr lang="en-US" sz="1100" b="0" i="0">
                  <a:latin typeface="Cambria Math" panose="02040503050406030204" pitchFamily="18" charset="0"/>
                </a:rPr>
                <a:t>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320739</xdr:colOff>
      <xdr:row>192</xdr:row>
      <xdr:rowOff>116244</xdr:rowOff>
    </xdr:from>
    <xdr:ext cx="3596222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6.539%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6.539%</a:t>
              </a:r>
              <a:r>
                <a:rPr lang="en-US" sz="1100" b="0" i="0">
                  <a:latin typeface="Cambria Math" panose="02040503050406030204" pitchFamily="18" charset="0"/>
                </a:rPr>
                <a:t>)^12−1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544286</xdr:colOff>
      <xdr:row>188</xdr:row>
      <xdr:rowOff>113393</xdr:rowOff>
    </xdr:from>
    <xdr:to>
      <xdr:col>5</xdr:col>
      <xdr:colOff>592883</xdr:colOff>
      <xdr:row>189</xdr:row>
      <xdr:rowOff>110154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E2B7422-4EC9-27DF-B0DA-B7E7CF71CA6A}"/>
            </a:ext>
          </a:extLst>
        </xdr:cNvPr>
        <xdr:cNvSpPr/>
      </xdr:nvSpPr>
      <xdr:spPr>
        <a:xfrm>
          <a:off x="13530959056" y="38589209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576684</xdr:colOff>
      <xdr:row>191</xdr:row>
      <xdr:rowOff>45357</xdr:rowOff>
    </xdr:from>
    <xdr:to>
      <xdr:col>5</xdr:col>
      <xdr:colOff>625281</xdr:colOff>
      <xdr:row>192</xdr:row>
      <xdr:rowOff>42118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6CE706FA-472C-8451-25E9-1C732A3CC588}"/>
            </a:ext>
          </a:extLst>
        </xdr:cNvPr>
        <xdr:cNvSpPr/>
      </xdr:nvSpPr>
      <xdr:spPr>
        <a:xfrm>
          <a:off x="13530926658" y="3913349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77756</xdr:colOff>
      <xdr:row>188</xdr:row>
      <xdr:rowOff>87474</xdr:rowOff>
    </xdr:from>
    <xdr:to>
      <xdr:col>4</xdr:col>
      <xdr:colOff>126353</xdr:colOff>
      <xdr:row>189</xdr:row>
      <xdr:rowOff>84235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CF4961C2-7AE3-E566-B8E2-464FA09CEFC3}"/>
            </a:ext>
          </a:extLst>
        </xdr:cNvPr>
        <xdr:cNvSpPr/>
      </xdr:nvSpPr>
      <xdr:spPr>
        <a:xfrm>
          <a:off x="13532251734" y="38563290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71276</xdr:colOff>
      <xdr:row>191</xdr:row>
      <xdr:rowOff>32397</xdr:rowOff>
    </xdr:from>
    <xdr:to>
      <xdr:col>4</xdr:col>
      <xdr:colOff>119873</xdr:colOff>
      <xdr:row>192</xdr:row>
      <xdr:rowOff>29158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9E53B41-91F8-6345-A464-F789BF116507}"/>
            </a:ext>
          </a:extLst>
        </xdr:cNvPr>
        <xdr:cNvSpPr/>
      </xdr:nvSpPr>
      <xdr:spPr>
        <a:xfrm>
          <a:off x="13532258214" y="3912053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615561</xdr:colOff>
      <xdr:row>188</xdr:row>
      <xdr:rowOff>45358</xdr:rowOff>
    </xdr:from>
    <xdr:to>
      <xdr:col>3</xdr:col>
      <xdr:colOff>686837</xdr:colOff>
      <xdr:row>192</xdr:row>
      <xdr:rowOff>58317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C65CA4DF-D10B-2314-D0B4-633BE71952F2}"/>
            </a:ext>
          </a:extLst>
        </xdr:cNvPr>
        <xdr:cNvSpPr/>
      </xdr:nvSpPr>
      <xdr:spPr>
        <a:xfrm>
          <a:off x="13532517398" y="38521174"/>
          <a:ext cx="71276" cy="82938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622300</xdr:colOff>
      <xdr:row>197</xdr:row>
      <xdr:rowOff>38100</xdr:rowOff>
    </xdr:from>
    <xdr:to>
      <xdr:col>9</xdr:col>
      <xdr:colOff>368300</xdr:colOff>
      <xdr:row>205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3D5F98-177D-EB61-6277-CECA99B85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7194200" y="40170100"/>
          <a:ext cx="1397000" cy="1663700"/>
        </a:xfrm>
        <a:prstGeom prst="rect">
          <a:avLst/>
        </a:prstGeom>
      </xdr:spPr>
    </xdr:pic>
    <xdr:clientData/>
  </xdr:twoCellAnchor>
  <xdr:twoCellAnchor editAs="oneCell">
    <xdr:from>
      <xdr:col>9</xdr:col>
      <xdr:colOff>402167</xdr:colOff>
      <xdr:row>196</xdr:row>
      <xdr:rowOff>149368</xdr:rowOff>
    </xdr:from>
    <xdr:to>
      <xdr:col>10</xdr:col>
      <xdr:colOff>495300</xdr:colOff>
      <xdr:row>201</xdr:row>
      <xdr:rowOff>97366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32A70C8-CAA4-4FFF-379F-B4F4DEEB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41700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196</xdr:row>
      <xdr:rowOff>149368</xdr:rowOff>
    </xdr:from>
    <xdr:to>
      <xdr:col>11</xdr:col>
      <xdr:colOff>588433</xdr:colOff>
      <xdr:row>201</xdr:row>
      <xdr:rowOff>97366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54E45E-955A-E346-8178-741389BBE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23067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9</xdr:col>
      <xdr:colOff>389466</xdr:colOff>
      <xdr:row>201</xdr:row>
      <xdr:rowOff>115501</xdr:rowOff>
    </xdr:from>
    <xdr:to>
      <xdr:col>10</xdr:col>
      <xdr:colOff>482599</xdr:colOff>
      <xdr:row>206</xdr:row>
      <xdr:rowOff>63499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F17806-D512-1B45-8B5D-71BA01A6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54401" y="41060301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482599</xdr:colOff>
      <xdr:row>201</xdr:row>
      <xdr:rowOff>115501</xdr:rowOff>
    </xdr:from>
    <xdr:to>
      <xdr:col>11</xdr:col>
      <xdr:colOff>575732</xdr:colOff>
      <xdr:row>206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135DE0-D4B5-8640-954C-F4FCFD9A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35768" y="41060301"/>
          <a:ext cx="918633" cy="963998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217</xdr:row>
      <xdr:rowOff>0</xdr:rowOff>
    </xdr:from>
    <xdr:ext cx="3418033" cy="227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𝑞𝑢𝑎𝑟𝑡𝑒𝑟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𝐼%_𝐴𝑁𝑁𝑈𝐴𝐿=(1+𝐼%_𝑞𝑢𝑎𝑟𝑡𝑒𝑟 )^4−1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749300</xdr:colOff>
      <xdr:row>220</xdr:row>
      <xdr:rowOff>46566</xdr:rowOff>
    </xdr:from>
    <xdr:ext cx="3418033" cy="1765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2.398%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2.398%</a:t>
              </a:r>
              <a:r>
                <a:rPr lang="en-US" sz="1100" b="0" i="0">
                  <a:latin typeface="Cambria Math" panose="02040503050406030204" pitchFamily="18" charset="0"/>
                </a:rPr>
                <a:t>)^4−1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340629</xdr:colOff>
      <xdr:row>44</xdr:row>
      <xdr:rowOff>96721</xdr:rowOff>
    </xdr:from>
    <xdr:to>
      <xdr:col>2</xdr:col>
      <xdr:colOff>685464</xdr:colOff>
      <xdr:row>50</xdr:row>
      <xdr:rowOff>67285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B4864D3F-5137-81AD-B8DB-8582D86A199D}"/>
            </a:ext>
          </a:extLst>
        </xdr:cNvPr>
        <xdr:cNvSpPr/>
      </xdr:nvSpPr>
      <xdr:spPr>
        <a:xfrm>
          <a:off x="13502063874" y="9079238"/>
          <a:ext cx="344835" cy="11816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340178</xdr:colOff>
      <xdr:row>191</xdr:row>
      <xdr:rowOff>36285</xdr:rowOff>
    </xdr:from>
    <xdr:to>
      <xdr:col>2</xdr:col>
      <xdr:colOff>367393</xdr:colOff>
      <xdr:row>192</xdr:row>
      <xdr:rowOff>68036</xdr:rowOff>
    </xdr:to>
    <xdr:sp macro="" textlink="">
      <xdr:nvSpPr>
        <xdr:cNvPr id="29" name="Freeform 28">
          <a:extLst>
            <a:ext uri="{FF2B5EF4-FFF2-40B4-BE49-F238E27FC236}">
              <a16:creationId xmlns:a16="http://schemas.microsoft.com/office/drawing/2014/main" id="{9780DD94-ED67-479D-F29E-8C0B13F7AF0D}"/>
            </a:ext>
          </a:extLst>
        </xdr:cNvPr>
        <xdr:cNvSpPr/>
      </xdr:nvSpPr>
      <xdr:spPr>
        <a:xfrm>
          <a:off x="13523050714" y="39156821"/>
          <a:ext cx="1678215" cy="235858"/>
        </a:xfrm>
        <a:custGeom>
          <a:avLst/>
          <a:gdLst>
            <a:gd name="connsiteX0" fmla="*/ 0 w 1678215"/>
            <a:gd name="connsiteY0" fmla="*/ 235858 h 235858"/>
            <a:gd name="connsiteX1" fmla="*/ 739322 w 1678215"/>
            <a:gd name="connsiteY1" fmla="*/ 0 h 235858"/>
            <a:gd name="connsiteX2" fmla="*/ 1678215 w 1678215"/>
            <a:gd name="connsiteY2" fmla="*/ 235858 h 2358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78215" h="235858">
              <a:moveTo>
                <a:pt x="0" y="235858"/>
              </a:moveTo>
              <a:cubicBezTo>
                <a:pt x="229810" y="117929"/>
                <a:pt x="459620" y="0"/>
                <a:pt x="739322" y="0"/>
              </a:cubicBezTo>
              <a:cubicBezTo>
                <a:pt x="1019024" y="0"/>
                <a:pt x="1348619" y="117929"/>
                <a:pt x="1678215" y="235858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380137</xdr:colOff>
      <xdr:row>239</xdr:row>
      <xdr:rowOff>154042</xdr:rowOff>
    </xdr:from>
    <xdr:ext cx="1584307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𝐼%=(1+5%)^(1/12)−1=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8758</xdr:colOff>
      <xdr:row>54</xdr:row>
      <xdr:rowOff>91966</xdr:rowOff>
    </xdr:from>
    <xdr:to>
      <xdr:col>6</xdr:col>
      <xdr:colOff>788275</xdr:colOff>
      <xdr:row>54</xdr:row>
      <xdr:rowOff>96345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5135922-5FFC-164A-8190-34929AA880D2}"/>
            </a:ext>
          </a:extLst>
        </xdr:cNvPr>
        <xdr:cNvCxnSpPr/>
      </xdr:nvCxnSpPr>
      <xdr:spPr>
        <a:xfrm>
          <a:off x="13555112897" y="10646104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768644</xdr:colOff>
      <xdr:row>71</xdr:row>
      <xdr:rowOff>117955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CA7DCB-14E7-D59F-4AE5-CF2ED2E5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7444359" y="13612198"/>
          <a:ext cx="768644" cy="731331"/>
        </a:xfrm>
        <a:prstGeom prst="rect">
          <a:avLst/>
        </a:prstGeom>
      </xdr:spPr>
    </xdr:pic>
    <xdr:clientData/>
  </xdr:twoCellAnchor>
  <xdr:twoCellAnchor>
    <xdr:from>
      <xdr:col>6</xdr:col>
      <xdr:colOff>8758</xdr:colOff>
      <xdr:row>84</xdr:row>
      <xdr:rowOff>91966</xdr:rowOff>
    </xdr:from>
    <xdr:to>
      <xdr:col>6</xdr:col>
      <xdr:colOff>788275</xdr:colOff>
      <xdr:row>84</xdr:row>
      <xdr:rowOff>96345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FF356074-9397-554B-A238-2BFAC9FECFB8}"/>
            </a:ext>
          </a:extLst>
        </xdr:cNvPr>
        <xdr:cNvCxnSpPr/>
      </xdr:nvCxnSpPr>
      <xdr:spPr>
        <a:xfrm>
          <a:off x="13529863000" y="1078329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106</xdr:row>
      <xdr:rowOff>91966</xdr:rowOff>
    </xdr:from>
    <xdr:to>
      <xdr:col>6</xdr:col>
      <xdr:colOff>788275</xdr:colOff>
      <xdr:row>106</xdr:row>
      <xdr:rowOff>96345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141B9CE-F35F-E14A-B550-5575EDAAB3ED}"/>
            </a:ext>
          </a:extLst>
        </xdr:cNvPr>
        <xdr:cNvCxnSpPr/>
      </xdr:nvCxnSpPr>
      <xdr:spPr>
        <a:xfrm>
          <a:off x="13519250725" y="1696482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289588</xdr:colOff>
      <xdr:row>151</xdr:row>
      <xdr:rowOff>115138</xdr:rowOff>
    </xdr:from>
    <xdr:to>
      <xdr:col>5</xdr:col>
      <xdr:colOff>704780</xdr:colOff>
      <xdr:row>151</xdr:row>
      <xdr:rowOff>129094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8201EA24-AADE-CD4D-E14C-FF0CA5497A24}"/>
            </a:ext>
          </a:extLst>
        </xdr:cNvPr>
        <xdr:cNvCxnSpPr/>
      </xdr:nvCxnSpPr>
      <xdr:spPr>
        <a:xfrm flipH="1" flipV="1">
          <a:off x="13543018324" y="31320852"/>
          <a:ext cx="1242088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160</xdr:row>
      <xdr:rowOff>104670</xdr:rowOff>
    </xdr:from>
    <xdr:to>
      <xdr:col>6</xdr:col>
      <xdr:colOff>739670</xdr:colOff>
      <xdr:row>160</xdr:row>
      <xdr:rowOff>111648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F8CAA920-A684-5175-85A9-8E1164206236}"/>
            </a:ext>
          </a:extLst>
        </xdr:cNvPr>
        <xdr:cNvCxnSpPr/>
      </xdr:nvCxnSpPr>
      <xdr:spPr>
        <a:xfrm flipH="1" flipV="1">
          <a:off x="13542156538" y="33131648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151</xdr:row>
      <xdr:rowOff>10467</xdr:rowOff>
    </xdr:from>
    <xdr:to>
      <xdr:col>8</xdr:col>
      <xdr:colOff>139560</xdr:colOff>
      <xdr:row>151</xdr:row>
      <xdr:rowOff>195385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52A38C03-EA65-A752-DDA2-EBA7EF297EEC}"/>
            </a:ext>
          </a:extLst>
        </xdr:cNvPr>
        <xdr:cNvSpPr/>
      </xdr:nvSpPr>
      <xdr:spPr>
        <a:xfrm>
          <a:off x="13541102857" y="31216181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151</xdr:row>
      <xdr:rowOff>195384</xdr:rowOff>
    </xdr:from>
    <xdr:to>
      <xdr:col>7</xdr:col>
      <xdr:colOff>139561</xdr:colOff>
      <xdr:row>152</xdr:row>
      <xdr:rowOff>177939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B369B3C7-14E7-A778-B681-3E7B7A1FEB72}"/>
            </a:ext>
          </a:extLst>
        </xdr:cNvPr>
        <xdr:cNvSpPr/>
      </xdr:nvSpPr>
      <xdr:spPr>
        <a:xfrm>
          <a:off x="13541929752" y="31401098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153</xdr:row>
      <xdr:rowOff>6977</xdr:rowOff>
    </xdr:from>
    <xdr:to>
      <xdr:col>5</xdr:col>
      <xdr:colOff>289588</xdr:colOff>
      <xdr:row>153</xdr:row>
      <xdr:rowOff>191895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3A39F2C-49B3-DB54-794A-D7DCFA023E88}"/>
            </a:ext>
          </a:extLst>
        </xdr:cNvPr>
        <xdr:cNvSpPr/>
      </xdr:nvSpPr>
      <xdr:spPr>
        <a:xfrm>
          <a:off x="13543342802" y="3161741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160</xdr:row>
      <xdr:rowOff>195384</xdr:rowOff>
    </xdr:from>
    <xdr:to>
      <xdr:col>5</xdr:col>
      <xdr:colOff>785028</xdr:colOff>
      <xdr:row>161</xdr:row>
      <xdr:rowOff>177939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D35AFE5-B3AB-5A44-AFEF-7F07ACB30D92}"/>
            </a:ext>
          </a:extLst>
        </xdr:cNvPr>
        <xdr:cNvSpPr/>
      </xdr:nvSpPr>
      <xdr:spPr>
        <a:xfrm>
          <a:off x="13542847362" y="33222362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159</xdr:row>
      <xdr:rowOff>202362</xdr:rowOff>
    </xdr:from>
    <xdr:to>
      <xdr:col>7</xdr:col>
      <xdr:colOff>139561</xdr:colOff>
      <xdr:row>160</xdr:row>
      <xdr:rowOff>184917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A7C25EBE-8CD9-1A3B-A90D-D154FDD3BBFF}"/>
            </a:ext>
          </a:extLst>
        </xdr:cNvPr>
        <xdr:cNvSpPr/>
      </xdr:nvSpPr>
      <xdr:spPr>
        <a:xfrm>
          <a:off x="13541839038" y="3302697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161</xdr:row>
      <xdr:rowOff>24422</xdr:rowOff>
    </xdr:from>
    <xdr:to>
      <xdr:col>7</xdr:col>
      <xdr:colOff>143050</xdr:colOff>
      <xdr:row>162</xdr:row>
      <xdr:rowOff>6978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66D0F514-FC23-BD33-0B65-1CC12572876A}"/>
            </a:ext>
          </a:extLst>
        </xdr:cNvPr>
        <xdr:cNvSpPr/>
      </xdr:nvSpPr>
      <xdr:spPr>
        <a:xfrm>
          <a:off x="13541835549" y="33253763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>
    <xdr:from>
      <xdr:col>4</xdr:col>
      <xdr:colOff>289588</xdr:colOff>
      <xdr:row>189</xdr:row>
      <xdr:rowOff>115138</xdr:rowOff>
    </xdr:from>
    <xdr:to>
      <xdr:col>5</xdr:col>
      <xdr:colOff>704780</xdr:colOff>
      <xdr:row>189</xdr:row>
      <xdr:rowOff>129094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34EA99-668E-EA44-A0C2-8587C91A19EE}"/>
            </a:ext>
          </a:extLst>
        </xdr:cNvPr>
        <xdr:cNvCxnSpPr/>
      </xdr:nvCxnSpPr>
      <xdr:spPr>
        <a:xfrm flipH="1" flipV="1">
          <a:off x="13548696076" y="31286453"/>
          <a:ext cx="1242440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199</xdr:row>
      <xdr:rowOff>104670</xdr:rowOff>
    </xdr:from>
    <xdr:to>
      <xdr:col>6</xdr:col>
      <xdr:colOff>739670</xdr:colOff>
      <xdr:row>199</xdr:row>
      <xdr:rowOff>111648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A740BE2D-3688-454E-9490-C5B50F7DE334}"/>
            </a:ext>
          </a:extLst>
        </xdr:cNvPr>
        <xdr:cNvCxnSpPr/>
      </xdr:nvCxnSpPr>
      <xdr:spPr>
        <a:xfrm flipH="1" flipV="1">
          <a:off x="13547833939" y="33093600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189</xdr:row>
      <xdr:rowOff>10467</xdr:rowOff>
    </xdr:from>
    <xdr:to>
      <xdr:col>8</xdr:col>
      <xdr:colOff>139560</xdr:colOff>
      <xdr:row>189</xdr:row>
      <xdr:rowOff>195385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D4EE3F5C-145D-E84D-8F76-A155FFD4B40C}"/>
            </a:ext>
          </a:extLst>
        </xdr:cNvPr>
        <xdr:cNvSpPr/>
      </xdr:nvSpPr>
      <xdr:spPr>
        <a:xfrm>
          <a:off x="13546868881" y="31181782"/>
          <a:ext cx="144230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189</xdr:row>
      <xdr:rowOff>195384</xdr:rowOff>
    </xdr:from>
    <xdr:to>
      <xdr:col>7</xdr:col>
      <xdr:colOff>139561</xdr:colOff>
      <xdr:row>190</xdr:row>
      <xdr:rowOff>177939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92CEB03-2D47-7F44-B7F5-4DA42BA4B917}"/>
            </a:ext>
          </a:extLst>
        </xdr:cNvPr>
        <xdr:cNvSpPr/>
      </xdr:nvSpPr>
      <xdr:spPr>
        <a:xfrm>
          <a:off x="13547606800" y="31366699"/>
          <a:ext cx="157359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191</xdr:row>
      <xdr:rowOff>6977</xdr:rowOff>
    </xdr:from>
    <xdr:to>
      <xdr:col>5</xdr:col>
      <xdr:colOff>289588</xdr:colOff>
      <xdr:row>191</xdr:row>
      <xdr:rowOff>191895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3637AA9F-B6B8-8F46-BB60-60230AEE29B9}"/>
            </a:ext>
          </a:extLst>
        </xdr:cNvPr>
        <xdr:cNvSpPr/>
      </xdr:nvSpPr>
      <xdr:spPr>
        <a:xfrm>
          <a:off x="13549111268" y="31582206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199</xdr:row>
      <xdr:rowOff>195384</xdr:rowOff>
    </xdr:from>
    <xdr:to>
      <xdr:col>5</xdr:col>
      <xdr:colOff>785028</xdr:colOff>
      <xdr:row>200</xdr:row>
      <xdr:rowOff>177939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FAB3358E-B08E-E24E-8D18-528965198055}"/>
            </a:ext>
          </a:extLst>
        </xdr:cNvPr>
        <xdr:cNvSpPr/>
      </xdr:nvSpPr>
      <xdr:spPr>
        <a:xfrm>
          <a:off x="13548615828" y="33184314"/>
          <a:ext cx="157006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198</xdr:row>
      <xdr:rowOff>202362</xdr:rowOff>
    </xdr:from>
    <xdr:to>
      <xdr:col>7</xdr:col>
      <xdr:colOff>139561</xdr:colOff>
      <xdr:row>199</xdr:row>
      <xdr:rowOff>184917</xdr:rowOff>
    </xdr:to>
    <xdr:sp macro="" textlink="">
      <xdr:nvSpPr>
        <xdr:cNvPr id="23" name="Rounded Rectangle 22">
          <a:extLst>
            <a:ext uri="{FF2B5EF4-FFF2-40B4-BE49-F238E27FC236}">
              <a16:creationId xmlns:a16="http://schemas.microsoft.com/office/drawing/2014/main" id="{F53F9799-AC56-B845-B58B-E39A3CC96DE6}"/>
            </a:ext>
          </a:extLst>
        </xdr:cNvPr>
        <xdr:cNvSpPr/>
      </xdr:nvSpPr>
      <xdr:spPr>
        <a:xfrm>
          <a:off x="13547606800" y="32989334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200</xdr:row>
      <xdr:rowOff>24422</xdr:rowOff>
    </xdr:from>
    <xdr:to>
      <xdr:col>7</xdr:col>
      <xdr:colOff>143050</xdr:colOff>
      <xdr:row>201</xdr:row>
      <xdr:rowOff>6978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7375E75C-B6F3-5641-9E01-7170CA38E66B}"/>
            </a:ext>
          </a:extLst>
        </xdr:cNvPr>
        <xdr:cNvSpPr/>
      </xdr:nvSpPr>
      <xdr:spPr>
        <a:xfrm>
          <a:off x="13547603311" y="33215309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 editAs="oneCell">
    <xdr:from>
      <xdr:col>7</xdr:col>
      <xdr:colOff>571502</xdr:colOff>
      <xdr:row>201</xdr:row>
      <xdr:rowOff>151630</xdr:rowOff>
    </xdr:from>
    <xdr:to>
      <xdr:col>13</xdr:col>
      <xdr:colOff>556080</xdr:colOff>
      <xdr:row>211</xdr:row>
      <xdr:rowOff>67570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28E2A-E0CD-6C18-39BB-0C7C2C69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704420" y="41843916"/>
          <a:ext cx="4846864" cy="195701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53915</xdr:colOff>
      <xdr:row>2</xdr:row>
      <xdr:rowOff>77877</xdr:rowOff>
    </xdr:from>
    <xdr:to>
      <xdr:col>10</xdr:col>
      <xdr:colOff>475205</xdr:colOff>
      <xdr:row>13</xdr:row>
      <xdr:rowOff>167736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10F54-DD73-36EA-C18E-DAEF3C33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5879701" y="497217"/>
          <a:ext cx="2074686" cy="2354293"/>
        </a:xfrm>
        <a:prstGeom prst="rect">
          <a:avLst/>
        </a:prstGeom>
      </xdr:spPr>
    </xdr:pic>
    <xdr:clientData/>
  </xdr:twoCellAnchor>
  <xdr:twoCellAnchor editAs="oneCell">
    <xdr:from>
      <xdr:col>7</xdr:col>
      <xdr:colOff>627742</xdr:colOff>
      <xdr:row>63</xdr:row>
      <xdr:rowOff>185059</xdr:rowOff>
    </xdr:from>
    <xdr:to>
      <xdr:col>9</xdr:col>
      <xdr:colOff>199570</xdr:colOff>
      <xdr:row>69</xdr:row>
      <xdr:rowOff>164013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F9F87C-DAF0-029E-3A37-5CAB35E4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7071858" y="13218888"/>
          <a:ext cx="1226457" cy="1198154"/>
        </a:xfrm>
        <a:prstGeom prst="rect">
          <a:avLst/>
        </a:prstGeom>
      </xdr:spPr>
    </xdr:pic>
    <xdr:clientData/>
  </xdr:twoCellAnchor>
  <xdr:oneCellAnchor>
    <xdr:from>
      <xdr:col>2</xdr:col>
      <xdr:colOff>584971</xdr:colOff>
      <xdr:row>156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l-GR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Σ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l-GR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Σ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584971</xdr:colOff>
      <xdr:row>167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8</xdr:col>
      <xdr:colOff>584971</xdr:colOff>
      <xdr:row>179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186</xdr:row>
      <xdr:rowOff>80013</xdr:rowOff>
    </xdr:from>
    <xdr:ext cx="3237636" cy="3499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BAL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𝐻𝑎𝑑𝑎𝑠h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𝐵𝑎𝑠𝑖𝑠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Zamud=BAL∗(𝑀𝑎𝑑𝑎𝑑_𝐻𝑎𝑑𝑎𝑠ℎ)/(𝑀𝑎𝑑𝑎𝑑_𝐵𝑎𝑠𝑖𝑠 )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188</xdr:row>
      <xdr:rowOff>59021</xdr:rowOff>
    </xdr:from>
    <xdr:ext cx="323763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=628,994.14∗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109.5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Zamud=628,994.14∗109.5/104=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707740</xdr:colOff>
      <xdr:row>191</xdr:row>
      <xdr:rowOff>161208</xdr:rowOff>
    </xdr:from>
    <xdr:to>
      <xdr:col>5</xdr:col>
      <xdr:colOff>121888</xdr:colOff>
      <xdr:row>193</xdr:row>
      <xdr:rowOff>106161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D1F01B-7003-80FF-A3D3-156CBEC25A02}"/>
            </a:ext>
          </a:extLst>
        </xdr:cNvPr>
        <xdr:cNvCxnSpPr/>
      </xdr:nvCxnSpPr>
      <xdr:spPr>
        <a:xfrm flipV="1">
          <a:off x="13523962632" y="39236316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699876</xdr:colOff>
      <xdr:row>191</xdr:row>
      <xdr:rowOff>149413</xdr:rowOff>
    </xdr:from>
    <xdr:to>
      <xdr:col>4</xdr:col>
      <xdr:colOff>114025</xdr:colOff>
      <xdr:row>193</xdr:row>
      <xdr:rowOff>94366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12C7BC7-B1C1-9C50-54B9-3091414EECA1}"/>
            </a:ext>
          </a:extLst>
        </xdr:cNvPr>
        <xdr:cNvCxnSpPr/>
      </xdr:nvCxnSpPr>
      <xdr:spPr>
        <a:xfrm flipV="1">
          <a:off x="13524796192" y="39224521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692013</xdr:colOff>
      <xdr:row>211</xdr:row>
      <xdr:rowOff>121889</xdr:rowOff>
    </xdr:from>
    <xdr:to>
      <xdr:col>5</xdr:col>
      <xdr:colOff>137616</xdr:colOff>
      <xdr:row>213</xdr:row>
      <xdr:rowOff>110093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55623556-43E2-0949-A760-2A0F24C5CEB7}"/>
            </a:ext>
          </a:extLst>
        </xdr:cNvPr>
        <xdr:cNvCxnSpPr/>
      </xdr:nvCxnSpPr>
      <xdr:spPr>
        <a:xfrm flipV="1">
          <a:off x="13523946904" y="43231115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727400</xdr:colOff>
      <xdr:row>211</xdr:row>
      <xdr:rowOff>125821</xdr:rowOff>
    </xdr:from>
    <xdr:to>
      <xdr:col>4</xdr:col>
      <xdr:colOff>173004</xdr:colOff>
      <xdr:row>213</xdr:row>
      <xdr:rowOff>114025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D9A4BCE-FD21-E21A-F80F-7E0A816A42EC}"/>
            </a:ext>
          </a:extLst>
        </xdr:cNvPr>
        <xdr:cNvCxnSpPr/>
      </xdr:nvCxnSpPr>
      <xdr:spPr>
        <a:xfrm flipV="1">
          <a:off x="13524737213" y="43235047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534738</xdr:colOff>
      <xdr:row>209</xdr:row>
      <xdr:rowOff>200526</xdr:rowOff>
    </xdr:from>
    <xdr:to>
      <xdr:col>1</xdr:col>
      <xdr:colOff>806038</xdr:colOff>
      <xdr:row>211</xdr:row>
      <xdr:rowOff>188730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EE5B69A-C18A-12ED-F9C5-BF49FC1CB599}"/>
            </a:ext>
          </a:extLst>
        </xdr:cNvPr>
        <xdr:cNvCxnSpPr/>
      </xdr:nvCxnSpPr>
      <xdr:spPr>
        <a:xfrm flipV="1">
          <a:off x="13526581268" y="42900836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743127</xdr:colOff>
      <xdr:row>253</xdr:row>
      <xdr:rowOff>141548</xdr:rowOff>
    </xdr:from>
    <xdr:to>
      <xdr:col>4</xdr:col>
      <xdr:colOff>94366</xdr:colOff>
      <xdr:row>255</xdr:row>
      <xdr:rowOff>106161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8084121-586F-45B0-14A0-81B944D1CE3F}"/>
            </a:ext>
          </a:extLst>
        </xdr:cNvPr>
        <xdr:cNvCxnSpPr/>
      </xdr:nvCxnSpPr>
      <xdr:spPr>
        <a:xfrm flipV="1">
          <a:off x="13524815851" y="52066068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739195</xdr:colOff>
      <xdr:row>253</xdr:row>
      <xdr:rowOff>121889</xdr:rowOff>
    </xdr:from>
    <xdr:to>
      <xdr:col>3</xdr:col>
      <xdr:colOff>90433</xdr:colOff>
      <xdr:row>255</xdr:row>
      <xdr:rowOff>86502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383268BB-2C20-E0E3-6478-A4C0EF18FB3B}"/>
            </a:ext>
          </a:extLst>
        </xdr:cNvPr>
        <xdr:cNvCxnSpPr/>
      </xdr:nvCxnSpPr>
      <xdr:spPr>
        <a:xfrm flipV="1">
          <a:off x="13525645480" y="52046409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668866</xdr:colOff>
      <xdr:row>279</xdr:row>
      <xdr:rowOff>118534</xdr:rowOff>
    </xdr:from>
    <xdr:to>
      <xdr:col>5</xdr:col>
      <xdr:colOff>152400</xdr:colOff>
      <xdr:row>281</xdr:row>
      <xdr:rowOff>88900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BAFBCF8-39FD-6E08-19E5-DF6531E27CF4}"/>
            </a:ext>
          </a:extLst>
        </xdr:cNvPr>
        <xdr:cNvCxnSpPr/>
      </xdr:nvCxnSpPr>
      <xdr:spPr>
        <a:xfrm flipV="1">
          <a:off x="13520712100" y="57116134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711200</xdr:colOff>
      <xdr:row>279</xdr:row>
      <xdr:rowOff>110067</xdr:rowOff>
    </xdr:from>
    <xdr:to>
      <xdr:col>4</xdr:col>
      <xdr:colOff>194734</xdr:colOff>
      <xdr:row>281</xdr:row>
      <xdr:rowOff>80433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755C1FD-8280-B88C-1E39-104C2CEFE589}"/>
            </a:ext>
          </a:extLst>
        </xdr:cNvPr>
        <xdr:cNvCxnSpPr/>
      </xdr:nvCxnSpPr>
      <xdr:spPr>
        <a:xfrm flipV="1">
          <a:off x="13521495266" y="57107667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59268</xdr:colOff>
      <xdr:row>291</xdr:row>
      <xdr:rowOff>52916</xdr:rowOff>
    </xdr:from>
    <xdr:ext cx="1825521" cy="33348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רצוי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מצוי</m:t>
                            </m:r>
                          </m:den>
                        </m:f>
                      </m:sup>
                    </m:sSup>
                    <m:r>
                      <a:rPr lang="he-IL" sz="1100" b="0" i="0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𝑟_𝑒=(1+𝑟)^(</a:t>
              </a:r>
              <a:r>
                <a:rPr lang="he-IL" sz="1100" b="0" i="0">
                  <a:latin typeface="Cambria Math" panose="02040503050406030204" pitchFamily="18" charset="0"/>
                </a:rPr>
                <a:t>רצוי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מצוי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656167</xdr:colOff>
      <xdr:row>293</xdr:row>
      <xdr:rowOff>139700</xdr:rowOff>
    </xdr:from>
    <xdr:to>
      <xdr:col>4</xdr:col>
      <xdr:colOff>80433</xdr:colOff>
      <xdr:row>295</xdr:row>
      <xdr:rowOff>50800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AE6E2C9E-00E9-511F-68FD-B80087CACC74}"/>
            </a:ext>
          </a:extLst>
        </xdr:cNvPr>
        <xdr:cNvCxnSpPr/>
      </xdr:nvCxnSpPr>
      <xdr:spPr>
        <a:xfrm flipV="1">
          <a:off x="13521609567" y="59982100"/>
          <a:ext cx="249766" cy="3175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189149</xdr:colOff>
      <xdr:row>21</xdr:row>
      <xdr:rowOff>148617</xdr:rowOff>
    </xdr:from>
    <xdr:to>
      <xdr:col>6</xdr:col>
      <xdr:colOff>783616</xdr:colOff>
      <xdr:row>21</xdr:row>
      <xdr:rowOff>155372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58A98A6-6267-6AEC-5F60-D0634CF9FB14}"/>
            </a:ext>
          </a:extLst>
        </xdr:cNvPr>
        <xdr:cNvCxnSpPr/>
      </xdr:nvCxnSpPr>
      <xdr:spPr>
        <a:xfrm flipV="1">
          <a:off x="13497127660" y="3620851"/>
          <a:ext cx="4715212" cy="67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337761</xdr:colOff>
      <xdr:row>21</xdr:row>
      <xdr:rowOff>84440</xdr:rowOff>
    </xdr:from>
    <xdr:to>
      <xdr:col>5</xdr:col>
      <xdr:colOff>388428</xdr:colOff>
      <xdr:row>22</xdr:row>
      <xdr:rowOff>148614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3E2C5922-D8C5-A390-3DED-4AB6F28B9380}"/>
            </a:ext>
          </a:extLst>
        </xdr:cNvPr>
        <xdr:cNvSpPr/>
      </xdr:nvSpPr>
      <xdr:spPr>
        <a:xfrm rot="16200000">
          <a:off x="13499475137" y="2631194"/>
          <a:ext cx="266833" cy="252311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388280</xdr:colOff>
      <xdr:row>18</xdr:row>
      <xdr:rowOff>0</xdr:rowOff>
    </xdr:from>
    <xdr:to>
      <xdr:col>3</xdr:col>
      <xdr:colOff>396369</xdr:colOff>
      <xdr:row>19</xdr:row>
      <xdr:rowOff>32357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FBC540D-0C21-DC01-ABED-6B6A9EB28276}"/>
            </a:ext>
          </a:extLst>
        </xdr:cNvPr>
        <xdr:cNvCxnSpPr/>
      </xdr:nvCxnSpPr>
      <xdr:spPr>
        <a:xfrm>
          <a:off x="13515493694" y="3672484"/>
          <a:ext cx="8089" cy="234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687580</xdr:colOff>
      <xdr:row>33</xdr:row>
      <xdr:rowOff>169873</xdr:rowOff>
    </xdr:from>
    <xdr:to>
      <xdr:col>5</xdr:col>
      <xdr:colOff>113248</xdr:colOff>
      <xdr:row>35</xdr:row>
      <xdr:rowOff>80892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E6B25C-9CA5-B398-22D7-68ABE101E0A7}"/>
            </a:ext>
          </a:extLst>
        </xdr:cNvPr>
        <xdr:cNvCxnSpPr/>
      </xdr:nvCxnSpPr>
      <xdr:spPr>
        <a:xfrm flipV="1">
          <a:off x="13514328854" y="6908153"/>
          <a:ext cx="250764" cy="3154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347835</xdr:colOff>
      <xdr:row>33</xdr:row>
      <xdr:rowOff>97071</xdr:rowOff>
    </xdr:from>
    <xdr:to>
      <xdr:col>4</xdr:col>
      <xdr:colOff>40446</xdr:colOff>
      <xdr:row>33</xdr:row>
      <xdr:rowOff>105160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D78EA75-7468-940F-E333-BA3461AEA26E}"/>
            </a:ext>
          </a:extLst>
        </xdr:cNvPr>
        <xdr:cNvCxnSpPr/>
      </xdr:nvCxnSpPr>
      <xdr:spPr>
        <a:xfrm>
          <a:off x="13515226752" y="6835351"/>
          <a:ext cx="517706" cy="8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420414</xdr:colOff>
      <xdr:row>50</xdr:row>
      <xdr:rowOff>43793</xdr:rowOff>
    </xdr:from>
    <xdr:to>
      <xdr:col>7</xdr:col>
      <xdr:colOff>258380</xdr:colOff>
      <xdr:row>50</xdr:row>
      <xdr:rowOff>56931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E10B13E-CB2F-239C-C027-0698571063B3}"/>
            </a:ext>
          </a:extLst>
        </xdr:cNvPr>
        <xdr:cNvCxnSpPr/>
      </xdr:nvCxnSpPr>
      <xdr:spPr>
        <a:xfrm>
          <a:off x="13554815103" y="10221310"/>
          <a:ext cx="5833242" cy="131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488294</xdr:colOff>
      <xdr:row>48</xdr:row>
      <xdr:rowOff>6569</xdr:rowOff>
    </xdr:from>
    <xdr:to>
      <xdr:col>6</xdr:col>
      <xdr:colOff>402897</xdr:colOff>
      <xdr:row>49</xdr:row>
      <xdr:rowOff>8758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638E1257-4DC6-B826-FC46-7C8A2F490BBD}"/>
            </a:ext>
          </a:extLst>
        </xdr:cNvPr>
        <xdr:cNvSpPr/>
      </xdr:nvSpPr>
      <xdr:spPr>
        <a:xfrm rot="5400000">
          <a:off x="13556282172" y="8997294"/>
          <a:ext cx="203637" cy="17714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748863</xdr:colOff>
      <xdr:row>47</xdr:row>
      <xdr:rowOff>66128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385381</xdr:colOff>
      <xdr:row>48</xdr:row>
      <xdr:rowOff>8422</xdr:rowOff>
    </xdr:from>
    <xdr:to>
      <xdr:col>4</xdr:col>
      <xdr:colOff>422606</xdr:colOff>
      <xdr:row>48</xdr:row>
      <xdr:rowOff>197931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25034743-D852-4BD0-BA24-F365161263FE}"/>
            </a:ext>
          </a:extLst>
        </xdr:cNvPr>
        <xdr:cNvSpPr/>
      </xdr:nvSpPr>
      <xdr:spPr>
        <a:xfrm rot="5400000">
          <a:off x="13496123545" y="9170300"/>
          <a:ext cx="189509" cy="168503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652519</xdr:colOff>
      <xdr:row>47</xdr:row>
      <xdr:rowOff>48611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341587</xdr:colOff>
      <xdr:row>52</xdr:row>
      <xdr:rowOff>19706</xdr:rowOff>
    </xdr:from>
    <xdr:to>
      <xdr:col>5</xdr:col>
      <xdr:colOff>302170</xdr:colOff>
      <xdr:row>53</xdr:row>
      <xdr:rowOff>74447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C175C3B6-DD47-79B0-3166-8DC09E4D91A3}"/>
            </a:ext>
          </a:extLst>
        </xdr:cNvPr>
        <xdr:cNvSpPr/>
      </xdr:nvSpPr>
      <xdr:spPr>
        <a:xfrm rot="16200000">
          <a:off x="13557721872" y="9506389"/>
          <a:ext cx="256189" cy="2443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192691</xdr:colOff>
      <xdr:row>53</xdr:row>
      <xdr:rowOff>123059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845207</xdr:colOff>
      <xdr:row>51</xdr:row>
      <xdr:rowOff>65689</xdr:rowOff>
    </xdr:from>
    <xdr:to>
      <xdr:col>6</xdr:col>
      <xdr:colOff>113862</xdr:colOff>
      <xdr:row>51</xdr:row>
      <xdr:rowOff>148896</xdr:rowOff>
    </xdr:to>
    <xdr:sp macro="" textlink="">
      <xdr:nvSpPr>
        <xdr:cNvPr id="24" name="Right Arrow 23">
          <a:extLst>
            <a:ext uri="{FF2B5EF4-FFF2-40B4-BE49-F238E27FC236}">
              <a16:creationId xmlns:a16="http://schemas.microsoft.com/office/drawing/2014/main" id="{58252FCB-5494-5485-4285-DE94053B4F1A}"/>
            </a:ext>
          </a:extLst>
        </xdr:cNvPr>
        <xdr:cNvSpPr/>
      </xdr:nvSpPr>
      <xdr:spPr>
        <a:xfrm>
          <a:off x="13555787311" y="10444655"/>
          <a:ext cx="297793" cy="8320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464207</xdr:colOff>
      <xdr:row>51</xdr:row>
      <xdr:rowOff>65689</xdr:rowOff>
    </xdr:from>
    <xdr:to>
      <xdr:col>5</xdr:col>
      <xdr:colOff>254000</xdr:colOff>
      <xdr:row>51</xdr:row>
      <xdr:rowOff>153275</xdr:rowOff>
    </xdr:to>
    <xdr:sp macro="" textlink="">
      <xdr:nvSpPr>
        <xdr:cNvPr id="25" name="Right Arrow 24">
          <a:extLst>
            <a:ext uri="{FF2B5EF4-FFF2-40B4-BE49-F238E27FC236}">
              <a16:creationId xmlns:a16="http://schemas.microsoft.com/office/drawing/2014/main" id="{3A2C4039-5651-CAF1-A307-4FE29CDB02F9}"/>
            </a:ext>
          </a:extLst>
        </xdr:cNvPr>
        <xdr:cNvSpPr/>
      </xdr:nvSpPr>
      <xdr:spPr>
        <a:xfrm>
          <a:off x="13556676311" y="10444655"/>
          <a:ext cx="617482" cy="875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687552</xdr:colOff>
      <xdr:row>51</xdr:row>
      <xdr:rowOff>56930</xdr:rowOff>
    </xdr:from>
    <xdr:to>
      <xdr:col>4</xdr:col>
      <xdr:colOff>332827</xdr:colOff>
      <xdr:row>51</xdr:row>
      <xdr:rowOff>153276</xdr:rowOff>
    </xdr:to>
    <xdr:sp macro="" textlink="">
      <xdr:nvSpPr>
        <xdr:cNvPr id="26" name="Right Arrow 25">
          <a:extLst>
            <a:ext uri="{FF2B5EF4-FFF2-40B4-BE49-F238E27FC236}">
              <a16:creationId xmlns:a16="http://schemas.microsoft.com/office/drawing/2014/main" id="{F76A1585-B2FF-5A9C-EC4F-DD275910F35F}"/>
            </a:ext>
          </a:extLst>
        </xdr:cNvPr>
        <xdr:cNvSpPr/>
      </xdr:nvSpPr>
      <xdr:spPr>
        <a:xfrm>
          <a:off x="13557425173" y="10435896"/>
          <a:ext cx="472965" cy="9634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670943</xdr:colOff>
      <xdr:row>51</xdr:row>
      <xdr:rowOff>61309</xdr:rowOff>
    </xdr:from>
    <xdr:to>
      <xdr:col>3</xdr:col>
      <xdr:colOff>184344</xdr:colOff>
      <xdr:row>51</xdr:row>
      <xdr:rowOff>182113</xdr:rowOff>
    </xdr:to>
    <xdr:sp macro="" textlink="">
      <xdr:nvSpPr>
        <xdr:cNvPr id="27" name="Right Arrow 26">
          <a:extLst>
            <a:ext uri="{FF2B5EF4-FFF2-40B4-BE49-F238E27FC236}">
              <a16:creationId xmlns:a16="http://schemas.microsoft.com/office/drawing/2014/main" id="{EC2E61DA-E6A1-7FDA-F0EE-34D305653BC3}"/>
            </a:ext>
          </a:extLst>
        </xdr:cNvPr>
        <xdr:cNvSpPr/>
      </xdr:nvSpPr>
      <xdr:spPr>
        <a:xfrm>
          <a:off x="13502910939" y="10441762"/>
          <a:ext cx="467099" cy="12080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60</xdr:row>
      <xdr:rowOff>104696</xdr:rowOff>
    </xdr:from>
    <xdr:to>
      <xdr:col>5</xdr:col>
      <xdr:colOff>191182</xdr:colOff>
      <xdr:row>62</xdr:row>
      <xdr:rowOff>113799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EA2B22B-EEE4-A6EC-9150-8A84B8088AC0}"/>
            </a:ext>
          </a:extLst>
        </xdr:cNvPr>
        <xdr:cNvCxnSpPr/>
      </xdr:nvCxnSpPr>
      <xdr:spPr>
        <a:xfrm flipV="1">
          <a:off x="13494783298" y="12913943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933154</xdr:colOff>
      <xdr:row>50</xdr:row>
      <xdr:rowOff>63728</xdr:rowOff>
    </xdr:from>
    <xdr:to>
      <xdr:col>6</xdr:col>
      <xdr:colOff>109247</xdr:colOff>
      <xdr:row>51</xdr:row>
      <xdr:rowOff>50071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14F509C-97EA-10C1-C2C9-569BCA288A66}"/>
            </a:ext>
          </a:extLst>
        </xdr:cNvPr>
        <xdr:cNvSpPr/>
      </xdr:nvSpPr>
      <xdr:spPr>
        <a:xfrm>
          <a:off x="13493836487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696452</xdr:colOff>
      <xdr:row>50</xdr:row>
      <xdr:rowOff>68280</xdr:rowOff>
    </xdr:from>
    <xdr:to>
      <xdr:col>5</xdr:col>
      <xdr:colOff>77384</xdr:colOff>
      <xdr:row>51</xdr:row>
      <xdr:rowOff>54623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6E85ABB-CCD6-DB4B-80F2-60F04F337819}"/>
            </a:ext>
          </a:extLst>
        </xdr:cNvPr>
        <xdr:cNvSpPr/>
      </xdr:nvSpPr>
      <xdr:spPr>
        <a:xfrm>
          <a:off x="13494897096" y="10387599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27313</xdr:colOff>
      <xdr:row>50</xdr:row>
      <xdr:rowOff>63728</xdr:rowOff>
    </xdr:from>
    <xdr:to>
      <xdr:col>4</xdr:col>
      <xdr:colOff>232152</xdr:colOff>
      <xdr:row>51</xdr:row>
      <xdr:rowOff>50071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4517E7B3-FB7B-11A3-1C45-2683674CF743}"/>
            </a:ext>
          </a:extLst>
        </xdr:cNvPr>
        <xdr:cNvSpPr/>
      </xdr:nvSpPr>
      <xdr:spPr>
        <a:xfrm>
          <a:off x="13495566235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687347</xdr:colOff>
      <xdr:row>60</xdr:row>
      <xdr:rowOff>150215</xdr:rowOff>
    </xdr:from>
    <xdr:to>
      <xdr:col>4</xdr:col>
      <xdr:colOff>95591</xdr:colOff>
      <xdr:row>62</xdr:row>
      <xdr:rowOff>159318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9491D78-0569-7225-4806-3675FC396CA4}"/>
            </a:ext>
          </a:extLst>
        </xdr:cNvPr>
        <xdr:cNvCxnSpPr/>
      </xdr:nvCxnSpPr>
      <xdr:spPr>
        <a:xfrm flipV="1">
          <a:off x="13495702796" y="12959462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60</xdr:row>
      <xdr:rowOff>71148</xdr:rowOff>
    </xdr:from>
    <xdr:to>
      <xdr:col>3</xdr:col>
      <xdr:colOff>172975</xdr:colOff>
      <xdr:row>62</xdr:row>
      <xdr:rowOff>103009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AEF7034-CC1E-9DDD-27E0-013C43D7D97D}"/>
            </a:ext>
          </a:extLst>
        </xdr:cNvPr>
        <xdr:cNvCxnSpPr/>
      </xdr:nvCxnSpPr>
      <xdr:spPr>
        <a:xfrm flipV="1">
          <a:off x="13502922308" y="12708846"/>
          <a:ext cx="270902" cy="4344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781168</xdr:colOff>
      <xdr:row>50</xdr:row>
      <xdr:rowOff>67094</xdr:rowOff>
    </xdr:from>
    <xdr:to>
      <xdr:col>3</xdr:col>
      <xdr:colOff>64672</xdr:colOff>
      <xdr:row>51</xdr:row>
      <xdr:rowOff>88651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97EA013-9542-DCB3-95C2-60251098E3AE}"/>
            </a:ext>
          </a:extLst>
        </xdr:cNvPr>
        <xdr:cNvSpPr/>
      </xdr:nvSpPr>
      <xdr:spPr>
        <a:xfrm>
          <a:off x="13503030611" y="10246264"/>
          <a:ext cx="237202" cy="22284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0</xdr:col>
      <xdr:colOff>547028</xdr:colOff>
      <xdr:row>81</xdr:row>
      <xdr:rowOff>105567</xdr:rowOff>
    </xdr:from>
    <xdr:to>
      <xdr:col>7</xdr:col>
      <xdr:colOff>191940</xdr:colOff>
      <xdr:row>81</xdr:row>
      <xdr:rowOff>118363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E3F5FB0-CFC7-B644-5141-A3D584E6CCD2}"/>
            </a:ext>
          </a:extLst>
        </xdr:cNvPr>
        <xdr:cNvCxnSpPr/>
      </xdr:nvCxnSpPr>
      <xdr:spPr>
        <a:xfrm>
          <a:off x="13516402065" y="17085819"/>
          <a:ext cx="5754988" cy="127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614207</xdr:colOff>
      <xdr:row>82</xdr:row>
      <xdr:rowOff>67179</xdr:rowOff>
    </xdr:from>
    <xdr:to>
      <xdr:col>6</xdr:col>
      <xdr:colOff>233526</xdr:colOff>
      <xdr:row>82</xdr:row>
      <xdr:rowOff>159950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7</xdr:col>
      <xdr:colOff>25594</xdr:colOff>
      <xdr:row>73</xdr:row>
      <xdr:rowOff>57838</xdr:rowOff>
    </xdr:from>
    <xdr:ext cx="1013499" cy="3391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438263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5</xdr:col>
      <xdr:colOff>937305</xdr:colOff>
      <xdr:row>81</xdr:row>
      <xdr:rowOff>118363</xdr:rowOff>
    </xdr:from>
    <xdr:to>
      <xdr:col>6</xdr:col>
      <xdr:colOff>63980</xdr:colOff>
      <xdr:row>82</xdr:row>
      <xdr:rowOff>57582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0FFC6FB-8C4A-D18F-9BBD-B8E480D0C084}"/>
            </a:ext>
          </a:extLst>
        </xdr:cNvPr>
        <xdr:cNvSpPr/>
      </xdr:nvSpPr>
      <xdr:spPr>
        <a:xfrm>
          <a:off x="13517355365" y="17098615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444661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chemeClr val="accent6">
                            <a:lumMod val="75000"/>
                          </a:schemeClr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𝟏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486248</xdr:colOff>
      <xdr:row>82</xdr:row>
      <xdr:rowOff>54383</xdr:rowOff>
    </xdr:from>
    <xdr:to>
      <xdr:col>5</xdr:col>
      <xdr:colOff>310303</xdr:colOff>
      <xdr:row>82</xdr:row>
      <xdr:rowOff>147154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4</xdr:col>
      <xdr:colOff>719774</xdr:colOff>
      <xdr:row>81</xdr:row>
      <xdr:rowOff>105567</xdr:rowOff>
    </xdr:from>
    <xdr:to>
      <xdr:col>5</xdr:col>
      <xdr:colOff>51185</xdr:colOff>
      <xdr:row>82</xdr:row>
      <xdr:rowOff>44786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3274DBB1-5757-BD9C-097A-6B7D6EEADD2D}"/>
            </a:ext>
          </a:extLst>
        </xdr:cNvPr>
        <xdr:cNvSpPr/>
      </xdr:nvSpPr>
      <xdr:spPr>
        <a:xfrm>
          <a:off x="13518398236" y="17085819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oneCellAnchor>
    <xdr:from>
      <xdr:col>4</xdr:col>
      <xdr:colOff>287910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4</xdr:col>
      <xdr:colOff>313502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rgbClr val="FF8AD8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483049</xdr:colOff>
      <xdr:row>82</xdr:row>
      <xdr:rowOff>44786</xdr:rowOff>
    </xdr:from>
    <xdr:to>
      <xdr:col>4</xdr:col>
      <xdr:colOff>307104</xdr:colOff>
      <xdr:row>82</xdr:row>
      <xdr:rowOff>137557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3</xdr:col>
      <xdr:colOff>275114</xdr:colOff>
      <xdr:row>82</xdr:row>
      <xdr:rowOff>185798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294308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738968</xdr:colOff>
      <xdr:row>81</xdr:row>
      <xdr:rowOff>105568</xdr:rowOff>
    </xdr:from>
    <xdr:to>
      <xdr:col>4</xdr:col>
      <xdr:colOff>70379</xdr:colOff>
      <xdr:row>82</xdr:row>
      <xdr:rowOff>44787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2C021C1A-4407-520E-83A4-796997BB451B}"/>
            </a:ext>
          </a:extLst>
        </xdr:cNvPr>
        <xdr:cNvSpPr/>
      </xdr:nvSpPr>
      <xdr:spPr>
        <a:xfrm>
          <a:off x="13519204382" y="17085820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476650</xdr:colOff>
      <xdr:row>84</xdr:row>
      <xdr:rowOff>159949</xdr:rowOff>
    </xdr:from>
    <xdr:to>
      <xdr:col>5</xdr:col>
      <xdr:colOff>522369</xdr:colOff>
      <xdr:row>86</xdr:row>
      <xdr:rowOff>163148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CC2962CF-0E11-4818-6FCE-E73AA22400C0}"/>
            </a:ext>
          </a:extLst>
        </xdr:cNvPr>
        <xdr:cNvSpPr/>
      </xdr:nvSpPr>
      <xdr:spPr>
        <a:xfrm>
          <a:off x="13517927052" y="17754407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364685</xdr:colOff>
      <xdr:row>84</xdr:row>
      <xdr:rowOff>150352</xdr:rowOff>
    </xdr:from>
    <xdr:to>
      <xdr:col>4</xdr:col>
      <xdr:colOff>410404</xdr:colOff>
      <xdr:row>86</xdr:row>
      <xdr:rowOff>153551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40B8BF15-41D7-80DF-7E01-2DD563C89C65}"/>
            </a:ext>
          </a:extLst>
        </xdr:cNvPr>
        <xdr:cNvSpPr/>
      </xdr:nvSpPr>
      <xdr:spPr>
        <a:xfrm>
          <a:off x="13518864357" y="17744810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351889</xdr:colOff>
      <xdr:row>84</xdr:row>
      <xdr:rowOff>140755</xdr:rowOff>
    </xdr:from>
    <xdr:to>
      <xdr:col>3</xdr:col>
      <xdr:colOff>397608</xdr:colOff>
      <xdr:row>86</xdr:row>
      <xdr:rowOff>143954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A3175ADD-0637-F307-E29A-29B90C20D700}"/>
            </a:ext>
          </a:extLst>
        </xdr:cNvPr>
        <xdr:cNvSpPr/>
      </xdr:nvSpPr>
      <xdr:spPr>
        <a:xfrm>
          <a:off x="13519702493" y="17735213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431865</xdr:colOff>
      <xdr:row>82</xdr:row>
      <xdr:rowOff>51184</xdr:rowOff>
    </xdr:from>
    <xdr:to>
      <xdr:col>3</xdr:col>
      <xdr:colOff>127960</xdr:colOff>
      <xdr:row>82</xdr:row>
      <xdr:rowOff>143955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2</xdr:col>
      <xdr:colOff>783755</xdr:colOff>
      <xdr:row>81</xdr:row>
      <xdr:rowOff>95971</xdr:rowOff>
    </xdr:from>
    <xdr:to>
      <xdr:col>2</xdr:col>
      <xdr:colOff>940506</xdr:colOff>
      <xdr:row>82</xdr:row>
      <xdr:rowOff>35190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30E19F69-07E6-83FF-E141-E891E0F3EB56}"/>
            </a:ext>
          </a:extLst>
        </xdr:cNvPr>
        <xdr:cNvSpPr/>
      </xdr:nvSpPr>
      <xdr:spPr>
        <a:xfrm>
          <a:off x="13520112895" y="17076223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oneCellAnchor>
    <xdr:from>
      <xdr:col>2</xdr:col>
      <xdr:colOff>316701</xdr:colOff>
      <xdr:row>82</xdr:row>
      <xdr:rowOff>192196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</xdr:col>
      <xdr:colOff>309722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782938</xdr:colOff>
      <xdr:row>97</xdr:row>
      <xdr:rowOff>104696</xdr:rowOff>
    </xdr:from>
    <xdr:to>
      <xdr:col>5</xdr:col>
      <xdr:colOff>191182</xdr:colOff>
      <xdr:row>99</xdr:row>
      <xdr:rowOff>113799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F0D908AE-26D3-7C41-A0C2-1B6CBA466688}"/>
            </a:ext>
          </a:extLst>
        </xdr:cNvPr>
        <xdr:cNvCxnSpPr/>
      </xdr:nvCxnSpPr>
      <xdr:spPr>
        <a:xfrm flipV="1">
          <a:off x="13509571862" y="12873718"/>
          <a:ext cx="233054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687347</xdr:colOff>
      <xdr:row>97</xdr:row>
      <xdr:rowOff>150215</xdr:rowOff>
    </xdr:from>
    <xdr:to>
      <xdr:col>4</xdr:col>
      <xdr:colOff>95591</xdr:colOff>
      <xdr:row>99</xdr:row>
      <xdr:rowOff>159318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F32251A-6878-494D-B37E-DD1F8D9DB0EC}"/>
            </a:ext>
          </a:extLst>
        </xdr:cNvPr>
        <xdr:cNvCxnSpPr/>
      </xdr:nvCxnSpPr>
      <xdr:spPr>
        <a:xfrm flipV="1">
          <a:off x="13510492263" y="12919237"/>
          <a:ext cx="233053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97</xdr:row>
      <xdr:rowOff>71148</xdr:rowOff>
    </xdr:from>
    <xdr:to>
      <xdr:col>3</xdr:col>
      <xdr:colOff>172975</xdr:colOff>
      <xdr:row>99</xdr:row>
      <xdr:rowOff>103009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F79A5A3-8795-334B-8818-5C9B25172DC4}"/>
            </a:ext>
          </a:extLst>
        </xdr:cNvPr>
        <xdr:cNvCxnSpPr/>
      </xdr:nvCxnSpPr>
      <xdr:spPr>
        <a:xfrm flipV="1">
          <a:off x="13511239688" y="12840170"/>
          <a:ext cx="269704" cy="439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512097</xdr:colOff>
      <xdr:row>112</xdr:row>
      <xdr:rowOff>81935</xdr:rowOff>
    </xdr:from>
    <xdr:to>
      <xdr:col>7</xdr:col>
      <xdr:colOff>180258</xdr:colOff>
      <xdr:row>112</xdr:row>
      <xdr:rowOff>94225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F072488-6452-B37D-1DD5-DA46825F773D}"/>
            </a:ext>
          </a:extLst>
        </xdr:cNvPr>
        <xdr:cNvCxnSpPr/>
      </xdr:nvCxnSpPr>
      <xdr:spPr>
        <a:xfrm>
          <a:off x="13552579677" y="23749000"/>
          <a:ext cx="3179097" cy="122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577645</xdr:colOff>
      <xdr:row>114</xdr:row>
      <xdr:rowOff>65548</xdr:rowOff>
    </xdr:from>
    <xdr:to>
      <xdr:col>6</xdr:col>
      <xdr:colOff>438355</xdr:colOff>
      <xdr:row>114</xdr:row>
      <xdr:rowOff>180258</xdr:rowOff>
    </xdr:to>
    <xdr:sp macro="" textlink="">
      <xdr:nvSpPr>
        <xdr:cNvPr id="69" name="Right Arrow 68">
          <a:extLst>
            <a:ext uri="{FF2B5EF4-FFF2-40B4-BE49-F238E27FC236}">
              <a16:creationId xmlns:a16="http://schemas.microsoft.com/office/drawing/2014/main" id="{D3F09047-81CA-EDC8-D9D7-C29AAE234A25}"/>
            </a:ext>
          </a:extLst>
        </xdr:cNvPr>
        <xdr:cNvSpPr/>
      </xdr:nvSpPr>
      <xdr:spPr>
        <a:xfrm>
          <a:off x="13553149129" y="24142290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307258</xdr:colOff>
      <xdr:row>114</xdr:row>
      <xdr:rowOff>61451</xdr:rowOff>
    </xdr:from>
    <xdr:to>
      <xdr:col>5</xdr:col>
      <xdr:colOff>368710</xdr:colOff>
      <xdr:row>114</xdr:row>
      <xdr:rowOff>176161</xdr:rowOff>
    </xdr:to>
    <xdr:sp macro="" textlink="">
      <xdr:nvSpPr>
        <xdr:cNvPr id="70" name="Right Arrow 69">
          <a:extLst>
            <a:ext uri="{FF2B5EF4-FFF2-40B4-BE49-F238E27FC236}">
              <a16:creationId xmlns:a16="http://schemas.microsoft.com/office/drawing/2014/main" id="{C8D66595-4DC9-4BFC-35A5-A4A2562CE6F4}"/>
            </a:ext>
          </a:extLst>
        </xdr:cNvPr>
        <xdr:cNvSpPr/>
      </xdr:nvSpPr>
      <xdr:spPr>
        <a:xfrm>
          <a:off x="13554247064" y="24138193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868516</xdr:colOff>
      <xdr:row>112</xdr:row>
      <xdr:rowOff>172064</xdr:rowOff>
    </xdr:from>
    <xdr:to>
      <xdr:col>6</xdr:col>
      <xdr:colOff>98323</xdr:colOff>
      <xdr:row>114</xdr:row>
      <xdr:rowOff>4097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968C95E8-971B-B638-F89C-2DD1A74D9A54}"/>
            </a:ext>
          </a:extLst>
        </xdr:cNvPr>
        <xdr:cNvSpPr/>
      </xdr:nvSpPr>
      <xdr:spPr>
        <a:xfrm>
          <a:off x="13553489161" y="23839129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667774</xdr:colOff>
      <xdr:row>112</xdr:row>
      <xdr:rowOff>155677</xdr:rowOff>
    </xdr:from>
    <xdr:to>
      <xdr:col>5</xdr:col>
      <xdr:colOff>98323</xdr:colOff>
      <xdr:row>113</xdr:row>
      <xdr:rowOff>192549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CA14F43A-72D9-8F10-8601-8CCD98ED5378}"/>
            </a:ext>
          </a:extLst>
        </xdr:cNvPr>
        <xdr:cNvSpPr/>
      </xdr:nvSpPr>
      <xdr:spPr>
        <a:xfrm>
          <a:off x="13554517451" y="23822742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163872</xdr:colOff>
      <xdr:row>116</xdr:row>
      <xdr:rowOff>65138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155678</xdr:colOff>
      <xdr:row>115</xdr:row>
      <xdr:rowOff>20073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811162</xdr:colOff>
      <xdr:row>115</xdr:row>
      <xdr:rowOff>7783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8194</xdr:colOff>
      <xdr:row>116</xdr:row>
      <xdr:rowOff>69235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446548</xdr:colOff>
      <xdr:row>114</xdr:row>
      <xdr:rowOff>57355</xdr:rowOff>
    </xdr:from>
    <xdr:to>
      <xdr:col>5</xdr:col>
      <xdr:colOff>492267</xdr:colOff>
      <xdr:row>118</xdr:row>
      <xdr:rowOff>172064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D88C1505-2112-0037-1BF5-8337A02EC434}"/>
            </a:ext>
          </a:extLst>
        </xdr:cNvPr>
        <xdr:cNvSpPr/>
      </xdr:nvSpPr>
      <xdr:spPr>
        <a:xfrm>
          <a:off x="13554123507" y="24134097"/>
          <a:ext cx="45719" cy="934064"/>
        </a:xfrm>
        <a:prstGeom prst="downArrow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128</xdr:row>
      <xdr:rowOff>104696</xdr:rowOff>
    </xdr:from>
    <xdr:to>
      <xdr:col>5</xdr:col>
      <xdr:colOff>191182</xdr:colOff>
      <xdr:row>130</xdr:row>
      <xdr:rowOff>113799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9E29A19-930A-4345-AF21-2FA0E62E7CC5}"/>
            </a:ext>
          </a:extLst>
        </xdr:cNvPr>
        <xdr:cNvCxnSpPr/>
      </xdr:nvCxnSpPr>
      <xdr:spPr>
        <a:xfrm flipV="1">
          <a:off x="13554424592" y="20613148"/>
          <a:ext cx="235792" cy="4187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260432</xdr:colOff>
      <xdr:row>100</xdr:row>
      <xdr:rowOff>86167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𝐴𝑁𝑁𝑈𝐴𝐿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(𝑀𝑜𝑛𝑡ℎ)=(1+𝑟_𝐴𝑁𝑁𝑈𝐴𝐿 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385021</xdr:colOff>
      <xdr:row>101</xdr:row>
      <xdr:rowOff>132039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(𝑀𝑜𝑛𝑡ℎ)=(1+6%)^(1/12)−1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722820</xdr:colOff>
      <xdr:row>126</xdr:row>
      <xdr:rowOff>201442</xdr:rowOff>
    </xdr:from>
    <xdr:ext cx="2404699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𝑠ℎ𝑎𝑛𝑎)=(1+𝑟_𝑎𝑛𝑛𝑢𝑎𝑙 )^(1/2)−1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37154</xdr:colOff>
      <xdr:row>128</xdr:row>
      <xdr:rowOff>144022</xdr:rowOff>
    </xdr:from>
    <xdr:ext cx="3816561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−1=0.05=5%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𝑠ℎ𝑎𝑛𝑎)=(1+10.25%)^(1/2)−1=0.05=5%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130829</xdr:colOff>
      <xdr:row>143</xdr:row>
      <xdr:rowOff>198540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)^0.25−1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376533</xdr:colOff>
      <xdr:row>149</xdr:row>
      <xdr:rowOff>6381</xdr:rowOff>
    </xdr:from>
    <xdr:to>
      <xdr:col>3</xdr:col>
      <xdr:colOff>424397</xdr:colOff>
      <xdr:row>149</xdr:row>
      <xdr:rowOff>175502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9CCECD0A-A74F-64F1-942D-C23000D1BA34}"/>
            </a:ext>
          </a:extLst>
        </xdr:cNvPr>
        <xdr:cNvSpPr/>
      </xdr:nvSpPr>
      <xdr:spPr>
        <a:xfrm>
          <a:off x="13537836231" y="30307688"/>
          <a:ext cx="47864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86156</xdr:colOff>
      <xdr:row>145</xdr:row>
      <xdr:rowOff>16656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1+4%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רבעון)=(1+4%</a:t>
              </a:r>
              <a:r>
                <a:rPr lang="en-US" sz="1100" b="0" i="0">
                  <a:latin typeface="Cambria Math" panose="02040503050406030204" pitchFamily="18" charset="0"/>
                </a:rPr>
                <a:t>)^0.25−1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871131</xdr:colOff>
      <xdr:row>143</xdr:row>
      <xdr:rowOff>143593</xdr:rowOff>
    </xdr:from>
    <xdr:to>
      <xdr:col>6</xdr:col>
      <xdr:colOff>3191</xdr:colOff>
      <xdr:row>148</xdr:row>
      <xdr:rowOff>146783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59A054E-73BD-7152-E2D7-C3AA5722420E}"/>
            </a:ext>
          </a:extLst>
        </xdr:cNvPr>
        <xdr:cNvCxnSpPr/>
      </xdr:nvCxnSpPr>
      <xdr:spPr>
        <a:xfrm flipV="1">
          <a:off x="13535714246" y="29423794"/>
          <a:ext cx="848794" cy="10242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813693</xdr:colOff>
      <xdr:row>158</xdr:row>
      <xdr:rowOff>82965</xdr:rowOff>
    </xdr:from>
    <xdr:ext cx="2141065" cy="2585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חודש)=(1+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348197</xdr:colOff>
      <xdr:row>163</xdr:row>
      <xdr:rowOff>6381</xdr:rowOff>
    </xdr:from>
    <xdr:to>
      <xdr:col>3</xdr:col>
      <xdr:colOff>444500</xdr:colOff>
      <xdr:row>163</xdr:row>
      <xdr:rowOff>175502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22E72783-A62C-9506-4B2F-7557018D5123}"/>
            </a:ext>
          </a:extLst>
        </xdr:cNvPr>
        <xdr:cNvSpPr/>
      </xdr:nvSpPr>
      <xdr:spPr>
        <a:xfrm flipH="1">
          <a:off x="13522134500" y="33204181"/>
          <a:ext cx="96303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831850</xdr:colOff>
      <xdr:row>159</xdr:row>
      <xdr:rowOff>184565</xdr:rowOff>
    </xdr:from>
    <xdr:ext cx="3933825" cy="2115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9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9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=0.00999999=0.01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𝐼%(</a:t>
              </a:r>
              <a:r>
                <a:rPr lang="he-IL" sz="900" b="0" i="0">
                  <a:latin typeface="Cambria Math" panose="02040503050406030204" pitchFamily="18" charset="0"/>
                </a:rPr>
                <a:t>חודש)=(1+12.6825%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1/12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=0.00999999=0.01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815975</xdr:colOff>
      <xdr:row>161</xdr:row>
      <xdr:rowOff>57565</xdr:rowOff>
    </xdr:from>
    <xdr:ext cx="3933825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900" b="0" i="1">
                        <a:latin typeface="Cambria Math" panose="02040503050406030204" pitchFamily="18" charset="0"/>
                      </a:rPr>
                      <m:t>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0.01∗100=1%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4</xdr:col>
      <xdr:colOff>879474</xdr:colOff>
      <xdr:row>170</xdr:row>
      <xdr:rowOff>31243</xdr:rowOff>
    </xdr:from>
    <xdr:to>
      <xdr:col>7</xdr:col>
      <xdr:colOff>454024</xdr:colOff>
      <xdr:row>181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3350CE-59C2-9FE7-3B6F-ABC5D4A9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59476" y="34651443"/>
          <a:ext cx="2114550" cy="23277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540496</xdr:colOff>
      <xdr:row>25</xdr:row>
      <xdr:rowOff>79581</xdr:rowOff>
    </xdr:from>
    <xdr:to>
      <xdr:col>7</xdr:col>
      <xdr:colOff>195639</xdr:colOff>
      <xdr:row>25</xdr:row>
      <xdr:rowOff>86213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2E4FB89-9DF3-9889-A7BF-1C685F682A31}"/>
            </a:ext>
          </a:extLst>
        </xdr:cNvPr>
        <xdr:cNvCxnSpPr/>
      </xdr:nvCxnSpPr>
      <xdr:spPr>
        <a:xfrm>
          <a:off x="13521733107" y="5136370"/>
          <a:ext cx="5434804" cy="66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195639</xdr:colOff>
      <xdr:row>21</xdr:row>
      <xdr:rowOff>93186</xdr:rowOff>
    </xdr:from>
    <xdr:to>
      <xdr:col>6</xdr:col>
      <xdr:colOff>607942</xdr:colOff>
      <xdr:row>23</xdr:row>
      <xdr:rowOff>176675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E0837E-2A7A-0E3C-3DF4-1B27563E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2146470" y="4340888"/>
          <a:ext cx="412303" cy="488032"/>
        </a:xfrm>
        <a:prstGeom prst="rect">
          <a:avLst/>
        </a:prstGeom>
      </xdr:spPr>
    </xdr:pic>
    <xdr:clientData/>
  </xdr:twoCellAnchor>
  <xdr:twoCellAnchor>
    <xdr:from>
      <xdr:col>6</xdr:col>
      <xdr:colOff>802454</xdr:colOff>
      <xdr:row>20</xdr:row>
      <xdr:rowOff>39791</xdr:rowOff>
    </xdr:from>
    <xdr:to>
      <xdr:col>8</xdr:col>
      <xdr:colOff>679765</xdr:colOff>
      <xdr:row>23</xdr:row>
      <xdr:rowOff>162481</xdr:rowOff>
    </xdr:to>
    <xdr:sp macro="" textlink="">
      <xdr:nvSpPr>
        <xdr:cNvPr id="5" name="Cloud Callout 4">
          <a:extLst>
            <a:ext uri="{FF2B5EF4-FFF2-40B4-BE49-F238E27FC236}">
              <a16:creationId xmlns:a16="http://schemas.microsoft.com/office/drawing/2014/main" id="{74FC6756-904B-FEFB-61F2-745132EAB365}"/>
            </a:ext>
          </a:extLst>
        </xdr:cNvPr>
        <xdr:cNvSpPr/>
      </xdr:nvSpPr>
      <xdr:spPr>
        <a:xfrm>
          <a:off x="13520423316" y="4085222"/>
          <a:ext cx="1528642" cy="729504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כמה שווה לי היום?</a:t>
          </a:r>
          <a:endParaRPr lang="en-US" sz="1100"/>
        </a:p>
      </xdr:txBody>
    </xdr:sp>
    <xdr:clientData/>
  </xdr:twoCellAnchor>
  <xdr:twoCellAnchor>
    <xdr:from>
      <xdr:col>1</xdr:col>
      <xdr:colOff>396416</xdr:colOff>
      <xdr:row>28</xdr:row>
      <xdr:rowOff>23858</xdr:rowOff>
    </xdr:from>
    <xdr:to>
      <xdr:col>5</xdr:col>
      <xdr:colOff>398251</xdr:colOff>
      <xdr:row>28</xdr:row>
      <xdr:rowOff>198208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56E8420D-C39B-E1C8-E21F-A13DA418E781}"/>
            </a:ext>
          </a:extLst>
        </xdr:cNvPr>
        <xdr:cNvSpPr/>
      </xdr:nvSpPr>
      <xdr:spPr>
        <a:xfrm rot="16200000">
          <a:off x="13528043671" y="4110982"/>
          <a:ext cx="174350" cy="330530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561589</xdr:colOff>
      <xdr:row>29</xdr:row>
      <xdr:rowOff>80531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565259</xdr:colOff>
      <xdr:row>30</xdr:row>
      <xdr:rowOff>62179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31</xdr:row>
      <xdr:rowOff>91542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32</xdr:row>
      <xdr:rowOff>135588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𝐹𝑉=40,000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378063</xdr:colOff>
      <xdr:row>28</xdr:row>
      <xdr:rowOff>23858</xdr:rowOff>
    </xdr:from>
    <xdr:to>
      <xdr:col>5</xdr:col>
      <xdr:colOff>398250</xdr:colOff>
      <xdr:row>34</xdr:row>
      <xdr:rowOff>44046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425D2714-7723-4A82-D54A-BE28B74BD79F}"/>
            </a:ext>
          </a:extLst>
        </xdr:cNvPr>
        <xdr:cNvCxnSpPr>
          <a:stCxn id="6" idx="0"/>
        </xdr:cNvCxnSpPr>
      </xdr:nvCxnSpPr>
      <xdr:spPr>
        <a:xfrm>
          <a:off x="13526478195" y="5676459"/>
          <a:ext cx="20187" cy="12314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403757</xdr:colOff>
      <xdr:row>28</xdr:row>
      <xdr:rowOff>56892</xdr:rowOff>
    </xdr:from>
    <xdr:to>
      <xdr:col>6</xdr:col>
      <xdr:colOff>409261</xdr:colOff>
      <xdr:row>34</xdr:row>
      <xdr:rowOff>40376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B423A4B4-F201-EAA5-3B80-30F67347C16A}"/>
            </a:ext>
          </a:extLst>
        </xdr:cNvPr>
        <xdr:cNvCxnSpPr/>
      </xdr:nvCxnSpPr>
      <xdr:spPr>
        <a:xfrm>
          <a:off x="13525641317" y="5709493"/>
          <a:ext cx="5504" cy="11947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381734</xdr:colOff>
      <xdr:row>34</xdr:row>
      <xdr:rowOff>47717</xdr:rowOff>
    </xdr:from>
    <xdr:to>
      <xdr:col>6</xdr:col>
      <xdr:colOff>392746</xdr:colOff>
      <xdr:row>34</xdr:row>
      <xdr:rowOff>51387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E3419D87-ACFD-A27E-D150-0D8D5EF96770}"/>
            </a:ext>
          </a:extLst>
        </xdr:cNvPr>
        <xdr:cNvCxnSpPr/>
      </xdr:nvCxnSpPr>
      <xdr:spPr>
        <a:xfrm flipH="1">
          <a:off x="13525657832" y="6911590"/>
          <a:ext cx="836879" cy="367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392031</xdr:colOff>
      <xdr:row>36</xdr:row>
      <xdr:rowOff>67001</xdr:rowOff>
    </xdr:from>
    <xdr:to>
      <xdr:col>1</xdr:col>
      <xdr:colOff>733197</xdr:colOff>
      <xdr:row>43</xdr:row>
      <xdr:rowOff>27446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058F82-131A-72EA-6638-2DA3546D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08350" y="7451331"/>
          <a:ext cx="1166011" cy="1396287"/>
        </a:xfrm>
        <a:prstGeom prst="rect">
          <a:avLst/>
        </a:prstGeom>
      </xdr:spPr>
    </xdr:pic>
    <xdr:clientData/>
  </xdr:twoCellAnchor>
  <xdr:twoCellAnchor>
    <xdr:from>
      <xdr:col>1</xdr:col>
      <xdr:colOff>667161</xdr:colOff>
      <xdr:row>37</xdr:row>
      <xdr:rowOff>512</xdr:rowOff>
    </xdr:from>
    <xdr:to>
      <xdr:col>3</xdr:col>
      <xdr:colOff>544472</xdr:colOff>
      <xdr:row>40</xdr:row>
      <xdr:rowOff>123202</xdr:rowOff>
    </xdr:to>
    <xdr:sp macro="" textlink="">
      <xdr:nvSpPr>
        <xdr:cNvPr id="19" name="Cloud Callout 18">
          <a:extLst>
            <a:ext uri="{FF2B5EF4-FFF2-40B4-BE49-F238E27FC236}">
              <a16:creationId xmlns:a16="http://schemas.microsoft.com/office/drawing/2014/main" id="{FA2FE128-1CD5-BC90-78C9-EF1113C6F1F0}"/>
            </a:ext>
          </a:extLst>
        </xdr:cNvPr>
        <xdr:cNvSpPr/>
      </xdr:nvSpPr>
      <xdr:spPr>
        <a:xfrm>
          <a:off x="13511247384" y="7589962"/>
          <a:ext cx="1527002" cy="738051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הנכס</a:t>
          </a:r>
          <a:r>
            <a:rPr lang="he-IL" sz="1100" baseline="0"/>
            <a:t> שווה כ-67,577 ש״ח</a:t>
          </a:r>
          <a:endParaRPr lang="en-US" sz="1100"/>
        </a:p>
      </xdr:txBody>
    </xdr:sp>
    <xdr:clientData/>
  </xdr:twoCellAnchor>
  <xdr:twoCellAnchor>
    <xdr:from>
      <xdr:col>0</xdr:col>
      <xdr:colOff>293584</xdr:colOff>
      <xdr:row>56</xdr:row>
      <xdr:rowOff>201222</xdr:rowOff>
    </xdr:from>
    <xdr:to>
      <xdr:col>7</xdr:col>
      <xdr:colOff>719117</xdr:colOff>
      <xdr:row>57</xdr:row>
      <xdr:rowOff>13196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E5645A2-8B01-EBB2-7F10-2EBE7A3D9163}"/>
            </a:ext>
          </a:extLst>
        </xdr:cNvPr>
        <xdr:cNvCxnSpPr/>
      </xdr:nvCxnSpPr>
      <xdr:spPr>
        <a:xfrm flipV="1">
          <a:off x="13504988675" y="10836235"/>
          <a:ext cx="6198260" cy="16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62676</xdr:colOff>
      <xdr:row>53</xdr:row>
      <xdr:rowOff>17209</xdr:rowOff>
    </xdr:from>
    <xdr:to>
      <xdr:col>7</xdr:col>
      <xdr:colOff>466932</xdr:colOff>
      <xdr:row>55</xdr:row>
      <xdr:rowOff>119578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43EC1D-A859-8960-F84D-6BC8B5FC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5240860" y="10038664"/>
          <a:ext cx="404256" cy="511408"/>
        </a:xfrm>
        <a:prstGeom prst="rect">
          <a:avLst/>
        </a:prstGeom>
      </xdr:spPr>
    </xdr:pic>
    <xdr:clientData/>
  </xdr:twoCellAnchor>
  <xdr:twoCellAnchor>
    <xdr:from>
      <xdr:col>7</xdr:col>
      <xdr:colOff>9162</xdr:colOff>
      <xdr:row>53</xdr:row>
      <xdr:rowOff>52779</xdr:rowOff>
    </xdr:from>
    <xdr:to>
      <xdr:col>7</xdr:col>
      <xdr:colOff>527792</xdr:colOff>
      <xdr:row>55</xdr:row>
      <xdr:rowOff>60570</xdr:rowOff>
    </xdr:to>
    <xdr:sp macro="" textlink="">
      <xdr:nvSpPr>
        <xdr:cNvPr id="23" name="Freeform 22">
          <a:extLst>
            <a:ext uri="{FF2B5EF4-FFF2-40B4-BE49-F238E27FC236}">
              <a16:creationId xmlns:a16="http://schemas.microsoft.com/office/drawing/2014/main" id="{407A098B-058C-BFF3-D321-5DF57FC408D9}"/>
            </a:ext>
          </a:extLst>
        </xdr:cNvPr>
        <xdr:cNvSpPr/>
      </xdr:nvSpPr>
      <xdr:spPr>
        <a:xfrm>
          <a:off x="13505180000" y="10074234"/>
          <a:ext cx="518630" cy="416830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409039</xdr:colOff>
      <xdr:row>56</xdr:row>
      <xdr:rowOff>184726</xdr:rowOff>
    </xdr:from>
    <xdr:to>
      <xdr:col>6</xdr:col>
      <xdr:colOff>402440</xdr:colOff>
      <xdr:row>58</xdr:row>
      <xdr:rowOff>59376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63A7B108-E3FE-DF8E-08EF-114FE017CFC0}"/>
            </a:ext>
          </a:extLst>
        </xdr:cNvPr>
        <xdr:cNvSpPr/>
      </xdr:nvSpPr>
      <xdr:spPr>
        <a:xfrm rot="16200000">
          <a:off x="13506809558" y="10140208"/>
          <a:ext cx="283689" cy="1642752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758702</xdr:colOff>
      <xdr:row>58</xdr:row>
      <xdr:rowOff>120071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59</xdr:row>
      <xdr:rowOff>169552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𝑛=84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775196</xdr:colOff>
      <xdr:row>60</xdr:row>
      <xdr:rowOff>176148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62</xdr:row>
      <xdr:rowOff>17810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359558</xdr:colOff>
      <xdr:row>56</xdr:row>
      <xdr:rowOff>188025</xdr:rowOff>
    </xdr:from>
    <xdr:to>
      <xdr:col>4</xdr:col>
      <xdr:colOff>9895</xdr:colOff>
      <xdr:row>58</xdr:row>
      <xdr:rowOff>59375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06DCCFB-7712-EC51-7560-62DDF286F9D0}"/>
            </a:ext>
          </a:extLst>
        </xdr:cNvPr>
        <xdr:cNvSpPr/>
      </xdr:nvSpPr>
      <xdr:spPr>
        <a:xfrm rot="16200000">
          <a:off x="13509093910" y="9901051"/>
          <a:ext cx="280389" cy="2124363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75870</xdr:colOff>
      <xdr:row>58</xdr:row>
      <xdr:rowOff>123369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𝑃𝑀𝑇=8,000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65974</xdr:colOff>
      <xdr:row>59</xdr:row>
      <xdr:rowOff>149760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75870</xdr:colOff>
      <xdr:row>60</xdr:row>
      <xdr:rowOff>149758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745506</xdr:colOff>
      <xdr:row>61</xdr:row>
      <xdr:rowOff>169550</xdr:rowOff>
    </xdr:from>
    <xdr:ext cx="1233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𝐹𝑉=3,000,000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152262</xdr:colOff>
      <xdr:row>55</xdr:row>
      <xdr:rowOff>86512</xdr:rowOff>
    </xdr:from>
    <xdr:to>
      <xdr:col>3</xdr:col>
      <xdr:colOff>574441</xdr:colOff>
      <xdr:row>56</xdr:row>
      <xdr:rowOff>114196</xdr:rowOff>
    </xdr:to>
    <xdr:sp macro="" textlink="">
      <xdr:nvSpPr>
        <xdr:cNvPr id="34" name="Rounded Rectangle 33">
          <a:extLst>
            <a:ext uri="{FF2B5EF4-FFF2-40B4-BE49-F238E27FC236}">
              <a16:creationId xmlns:a16="http://schemas.microsoft.com/office/drawing/2014/main" id="{2505E159-A4F9-BFFA-3BE9-B05FB52D3E76}"/>
            </a:ext>
          </a:extLst>
        </xdr:cNvPr>
        <xdr:cNvSpPr/>
      </xdr:nvSpPr>
      <xdr:spPr>
        <a:xfrm>
          <a:off x="13547449891" y="10499128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4</xdr:col>
      <xdr:colOff>705940</xdr:colOff>
      <xdr:row>55</xdr:row>
      <xdr:rowOff>121116</xdr:rowOff>
    </xdr:from>
    <xdr:to>
      <xdr:col>6</xdr:col>
      <xdr:colOff>301063</xdr:colOff>
      <xdr:row>56</xdr:row>
      <xdr:rowOff>148800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328E6C3F-566B-B212-F4DD-75EDBB78C3F4}"/>
            </a:ext>
          </a:extLst>
        </xdr:cNvPr>
        <xdr:cNvSpPr/>
      </xdr:nvSpPr>
      <xdr:spPr>
        <a:xfrm>
          <a:off x="13545242098" y="10533732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3</xdr:col>
      <xdr:colOff>797169</xdr:colOff>
      <xdr:row>58</xdr:row>
      <xdr:rowOff>3908</xdr:rowOff>
    </xdr:from>
    <xdr:to>
      <xdr:col>3</xdr:col>
      <xdr:colOff>804984</xdr:colOff>
      <xdr:row>63</xdr:row>
      <xdr:rowOff>15631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6C56FB5D-E13C-E16E-A1D3-E861B5005DF6}"/>
            </a:ext>
          </a:extLst>
        </xdr:cNvPr>
        <xdr:cNvCxnSpPr/>
      </xdr:nvCxnSpPr>
      <xdr:spPr>
        <a:xfrm flipH="1" flipV="1">
          <a:off x="13505707539" y="11789508"/>
          <a:ext cx="7815" cy="102772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790917</xdr:colOff>
      <xdr:row>63</xdr:row>
      <xdr:rowOff>18064</xdr:rowOff>
    </xdr:from>
    <xdr:to>
      <xdr:col>4</xdr:col>
      <xdr:colOff>359508</xdr:colOff>
      <xdr:row>63</xdr:row>
      <xdr:rowOff>19538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B7A69EDB-B961-8E15-C98B-793F579D36BA}"/>
            </a:ext>
          </a:extLst>
        </xdr:cNvPr>
        <xdr:cNvCxnSpPr/>
      </xdr:nvCxnSpPr>
      <xdr:spPr>
        <a:xfrm flipH="1">
          <a:off x="13505328492" y="12819664"/>
          <a:ext cx="393114" cy="14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359508</xdr:colOff>
      <xdr:row>58</xdr:row>
      <xdr:rowOff>15631</xdr:rowOff>
    </xdr:from>
    <xdr:to>
      <xdr:col>4</xdr:col>
      <xdr:colOff>380642</xdr:colOff>
      <xdr:row>63</xdr:row>
      <xdr:rowOff>31262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65C0DC25-1393-EE4D-B5D1-A62E2EF5DF70}"/>
            </a:ext>
          </a:extLst>
        </xdr:cNvPr>
        <xdr:cNvCxnSpPr/>
      </xdr:nvCxnSpPr>
      <xdr:spPr>
        <a:xfrm>
          <a:off x="13505307358" y="11801231"/>
          <a:ext cx="21134" cy="1031631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70</xdr:row>
      <xdr:rowOff>132862</xdr:rowOff>
    </xdr:from>
    <xdr:to>
      <xdr:col>5</xdr:col>
      <xdr:colOff>46893</xdr:colOff>
      <xdr:row>72</xdr:row>
      <xdr:rowOff>39077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228FD331-93A0-537B-2217-CF6EDBF96AE3}"/>
            </a:ext>
          </a:extLst>
        </xdr:cNvPr>
        <xdr:cNvCxnSpPr/>
      </xdr:nvCxnSpPr>
      <xdr:spPr>
        <a:xfrm flipH="1" flipV="1">
          <a:off x="13504816584" y="14356862"/>
          <a:ext cx="207108" cy="31261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730739</xdr:colOff>
      <xdr:row>69</xdr:row>
      <xdr:rowOff>109415</xdr:rowOff>
    </xdr:from>
    <xdr:to>
      <xdr:col>6</xdr:col>
      <xdr:colOff>54708</xdr:colOff>
      <xdr:row>70</xdr:row>
      <xdr:rowOff>70338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D4A21DD0-0C94-2502-4585-E8821EEB1F79}"/>
            </a:ext>
          </a:extLst>
        </xdr:cNvPr>
        <xdr:cNvSpPr/>
      </xdr:nvSpPr>
      <xdr:spPr>
        <a:xfrm>
          <a:off x="13503984246" y="141302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742462</xdr:colOff>
      <xdr:row>72</xdr:row>
      <xdr:rowOff>109415</xdr:rowOff>
    </xdr:from>
    <xdr:to>
      <xdr:col>5</xdr:col>
      <xdr:colOff>66431</xdr:colOff>
      <xdr:row>73</xdr:row>
      <xdr:rowOff>70338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B68B1BEC-F934-F9B1-7FD0-05DD307CB3F0}"/>
            </a:ext>
          </a:extLst>
        </xdr:cNvPr>
        <xdr:cNvSpPr/>
      </xdr:nvSpPr>
      <xdr:spPr>
        <a:xfrm>
          <a:off x="13504797046" y="147398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734646</xdr:colOff>
      <xdr:row>69</xdr:row>
      <xdr:rowOff>140677</xdr:rowOff>
    </xdr:from>
    <xdr:to>
      <xdr:col>4</xdr:col>
      <xdr:colOff>58615</xdr:colOff>
      <xdr:row>70</xdr:row>
      <xdr:rowOff>101600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F194C9D-0B6A-B4F0-E3C2-D359A674DE4C}"/>
            </a:ext>
          </a:extLst>
        </xdr:cNvPr>
        <xdr:cNvSpPr/>
      </xdr:nvSpPr>
      <xdr:spPr>
        <a:xfrm>
          <a:off x="13505629385" y="14161477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0</xdr:col>
      <xdr:colOff>226646</xdr:colOff>
      <xdr:row>65</xdr:row>
      <xdr:rowOff>15630</xdr:rowOff>
    </xdr:from>
    <xdr:to>
      <xdr:col>0</xdr:col>
      <xdr:colOff>375138</xdr:colOff>
      <xdr:row>65</xdr:row>
      <xdr:rowOff>179753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95FA335B-F776-2586-3DE4-9357A1F3934E}"/>
            </a:ext>
          </a:extLst>
        </xdr:cNvPr>
        <xdr:cNvSpPr/>
      </xdr:nvSpPr>
      <xdr:spPr>
        <a:xfrm>
          <a:off x="13508610954" y="13223630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246184</xdr:colOff>
      <xdr:row>67</xdr:row>
      <xdr:rowOff>35169</xdr:rowOff>
    </xdr:from>
    <xdr:to>
      <xdr:col>0</xdr:col>
      <xdr:colOff>394676</xdr:colOff>
      <xdr:row>67</xdr:row>
      <xdr:rowOff>199292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C8AC6D2E-377E-97CC-A794-F875FFC73C2D}"/>
            </a:ext>
          </a:extLst>
        </xdr:cNvPr>
        <xdr:cNvSpPr/>
      </xdr:nvSpPr>
      <xdr:spPr>
        <a:xfrm>
          <a:off x="13508591416" y="13649569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257907</xdr:colOff>
      <xdr:row>69</xdr:row>
      <xdr:rowOff>7815</xdr:rowOff>
    </xdr:from>
    <xdr:to>
      <xdr:col>0</xdr:col>
      <xdr:colOff>406399</xdr:colOff>
      <xdr:row>69</xdr:row>
      <xdr:rowOff>171938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0757186-240C-EFD6-B66B-016085B907D9}"/>
            </a:ext>
          </a:extLst>
        </xdr:cNvPr>
        <xdr:cNvSpPr/>
      </xdr:nvSpPr>
      <xdr:spPr>
        <a:xfrm>
          <a:off x="13508579693" y="140286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 editAs="oneCell">
    <xdr:from>
      <xdr:col>1</xdr:col>
      <xdr:colOff>53514</xdr:colOff>
      <xdr:row>75</xdr:row>
      <xdr:rowOff>0</xdr:rowOff>
    </xdr:from>
    <xdr:to>
      <xdr:col>1</xdr:col>
      <xdr:colOff>457770</xdr:colOff>
      <xdr:row>77</xdr:row>
      <xdr:rowOff>102369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81D9757-D969-6F4C-8719-37E560A72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7703799" y="15240000"/>
          <a:ext cx="404256" cy="5087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</xdr:row>
      <xdr:rowOff>35570</xdr:rowOff>
    </xdr:from>
    <xdr:to>
      <xdr:col>1</xdr:col>
      <xdr:colOff>518630</xdr:colOff>
      <xdr:row>77</xdr:row>
      <xdr:rowOff>43361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656BDFB1-D6A1-5E4A-831F-C5BF3600CED6}"/>
            </a:ext>
          </a:extLst>
        </xdr:cNvPr>
        <xdr:cNvSpPr/>
      </xdr:nvSpPr>
      <xdr:spPr>
        <a:xfrm>
          <a:off x="13507642939" y="15275570"/>
          <a:ext cx="518630" cy="414191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640861</xdr:colOff>
      <xdr:row>74</xdr:row>
      <xdr:rowOff>183661</xdr:rowOff>
    </xdr:from>
    <xdr:to>
      <xdr:col>4</xdr:col>
      <xdr:colOff>23446</xdr:colOff>
      <xdr:row>77</xdr:row>
      <xdr:rowOff>105508</xdr:rowOff>
    </xdr:to>
    <xdr:sp macro="" textlink="">
      <xdr:nvSpPr>
        <xdr:cNvPr id="59" name="Rounded Rectangular Callout 58">
          <a:extLst>
            <a:ext uri="{FF2B5EF4-FFF2-40B4-BE49-F238E27FC236}">
              <a16:creationId xmlns:a16="http://schemas.microsoft.com/office/drawing/2014/main" id="{30D94E69-7031-CA10-5FFC-60976F5F1B25}"/>
            </a:ext>
          </a:extLst>
        </xdr:cNvPr>
        <xdr:cNvSpPr/>
      </xdr:nvSpPr>
      <xdr:spPr>
        <a:xfrm>
          <a:off x="13505664554" y="15220461"/>
          <a:ext cx="1856154" cy="531447"/>
        </a:xfrm>
        <a:prstGeom prst="wedgeRoundRectCallout">
          <a:avLst>
            <a:gd name="adj1" fmla="val 57694"/>
            <a:gd name="adj2" fmla="val 674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 הנכס היום הוא כ-2,229,244</a:t>
          </a:r>
          <a:r>
            <a:rPr lang="he-IL" sz="1100" baseline="0"/>
            <a:t> ש״ח</a:t>
          </a:r>
          <a:endParaRPr lang="en-US" sz="1100"/>
        </a:p>
      </xdr:txBody>
    </xdr:sp>
    <xdr:clientData/>
  </xdr:twoCellAnchor>
  <xdr:twoCellAnchor>
    <xdr:from>
      <xdr:col>6</xdr:col>
      <xdr:colOff>117948</xdr:colOff>
      <xdr:row>80</xdr:row>
      <xdr:rowOff>3908</xdr:rowOff>
    </xdr:from>
    <xdr:to>
      <xdr:col>7</xdr:col>
      <xdr:colOff>806937</xdr:colOff>
      <xdr:row>86</xdr:row>
      <xdr:rowOff>143608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BB8ACCEE-70E9-3A67-851E-79F88E4DA007}"/>
            </a:ext>
          </a:extLst>
        </xdr:cNvPr>
        <xdr:cNvGrpSpPr/>
      </xdr:nvGrpSpPr>
      <xdr:grpSpPr>
        <a:xfrm>
          <a:off x="13553460704" y="16366455"/>
          <a:ext cx="1516629" cy="1366891"/>
          <a:chOff x="13502407493" y="16259908"/>
          <a:chExt cx="1513513" cy="1358900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2B2CCF5E-528E-B83B-F3FA-7F9104C80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61" name="Freeform 60">
            <a:extLst>
              <a:ext uri="{FF2B5EF4-FFF2-40B4-BE49-F238E27FC236}">
                <a16:creationId xmlns:a16="http://schemas.microsoft.com/office/drawing/2014/main" id="{27008921-B51F-FB22-1D2F-BE21FFB41A53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478BECB-31BB-749B-9844-6F018BE1B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19538</xdr:colOff>
      <xdr:row>96</xdr:row>
      <xdr:rowOff>136769</xdr:rowOff>
    </xdr:from>
    <xdr:to>
      <xdr:col>10</xdr:col>
      <xdr:colOff>85968</xdr:colOff>
      <xdr:row>96</xdr:row>
      <xdr:rowOff>140677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7D1D153B-B701-8F2A-16F4-A88C2AE3929F}"/>
            </a:ext>
          </a:extLst>
        </xdr:cNvPr>
        <xdr:cNvCxnSpPr/>
      </xdr:nvCxnSpPr>
      <xdr:spPr>
        <a:xfrm>
          <a:off x="13500654893" y="19034369"/>
          <a:ext cx="8311661" cy="3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160215</xdr:colOff>
      <xdr:row>91</xdr:row>
      <xdr:rowOff>171938</xdr:rowOff>
    </xdr:from>
    <xdr:to>
      <xdr:col>9</xdr:col>
      <xdr:colOff>642814</xdr:colOff>
      <xdr:row>94</xdr:row>
      <xdr:rowOff>124068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951C2A0C-29E7-9142-2FD2-D653318414F4}"/>
            </a:ext>
          </a:extLst>
        </xdr:cNvPr>
        <xdr:cNvGrpSpPr/>
      </xdr:nvGrpSpPr>
      <xdr:grpSpPr>
        <a:xfrm>
          <a:off x="13551969546" y="18784335"/>
          <a:ext cx="482599" cy="565726"/>
          <a:chOff x="13502407493" y="16259908"/>
          <a:chExt cx="1513513" cy="1358900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CAB3A056-A42C-0679-DC31-A8C43F03D7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70" name="Freeform 69">
            <a:extLst>
              <a:ext uri="{FF2B5EF4-FFF2-40B4-BE49-F238E27FC236}">
                <a16:creationId xmlns:a16="http://schemas.microsoft.com/office/drawing/2014/main" id="{A6ACD0B6-D316-D050-9772-B64AC6674727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A0277078-82E6-CAD7-5ADF-CE1AFB262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437659</xdr:colOff>
      <xdr:row>96</xdr:row>
      <xdr:rowOff>72290</xdr:rowOff>
    </xdr:from>
    <xdr:to>
      <xdr:col>6</xdr:col>
      <xdr:colOff>797166</xdr:colOff>
      <xdr:row>97</xdr:row>
      <xdr:rowOff>148491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234F504C-2647-389A-4EAB-1ECF99346DEC}"/>
            </a:ext>
          </a:extLst>
        </xdr:cNvPr>
        <xdr:cNvSpPr/>
      </xdr:nvSpPr>
      <xdr:spPr>
        <a:xfrm rot="16200000">
          <a:off x="13503694102" y="18517576"/>
          <a:ext cx="279401" cy="11840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445477</xdr:colOff>
      <xdr:row>91</xdr:row>
      <xdr:rowOff>105511</xdr:rowOff>
    </xdr:from>
    <xdr:to>
      <xdr:col>7</xdr:col>
      <xdr:colOff>312614</xdr:colOff>
      <xdr:row>93</xdr:row>
      <xdr:rowOff>23452</xdr:rowOff>
    </xdr:to>
    <xdr:sp macro="" textlink="">
      <xdr:nvSpPr>
        <xdr:cNvPr id="75" name="Left Brace 74">
          <a:extLst>
            <a:ext uri="{FF2B5EF4-FFF2-40B4-BE49-F238E27FC236}">
              <a16:creationId xmlns:a16="http://schemas.microsoft.com/office/drawing/2014/main" id="{21962839-CEBD-E986-D28D-110AF747E3C5}"/>
            </a:ext>
          </a:extLst>
        </xdr:cNvPr>
        <xdr:cNvSpPr/>
      </xdr:nvSpPr>
      <xdr:spPr>
        <a:xfrm rot="5400000">
          <a:off x="13503497737" y="18000790"/>
          <a:ext cx="324341" cy="151618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406400</xdr:colOff>
      <xdr:row>89</xdr:row>
      <xdr:rowOff>199297</xdr:rowOff>
    </xdr:from>
    <xdr:to>
      <xdr:col>9</xdr:col>
      <xdr:colOff>461107</xdr:colOff>
      <xdr:row>91</xdr:row>
      <xdr:rowOff>128957</xdr:rowOff>
    </xdr:to>
    <xdr:sp macro="" textlink="">
      <xdr:nvSpPr>
        <xdr:cNvPr id="76" name="Left Brace 75">
          <a:extLst>
            <a:ext uri="{FF2B5EF4-FFF2-40B4-BE49-F238E27FC236}">
              <a16:creationId xmlns:a16="http://schemas.microsoft.com/office/drawing/2014/main" id="{ABB98D25-0A13-D34E-C4C8-0EE9BF9ECED7}"/>
            </a:ext>
          </a:extLst>
        </xdr:cNvPr>
        <xdr:cNvSpPr/>
      </xdr:nvSpPr>
      <xdr:spPr>
        <a:xfrm rot="5400000">
          <a:off x="13501788124" y="17600250"/>
          <a:ext cx="336060" cy="17037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125048</xdr:colOff>
      <xdr:row>91</xdr:row>
      <xdr:rowOff>117236</xdr:rowOff>
    </xdr:from>
    <xdr:to>
      <xdr:col>5</xdr:col>
      <xdr:colOff>140678</xdr:colOff>
      <xdr:row>93</xdr:row>
      <xdr:rowOff>58615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4041EDE0-01EA-9127-21E0-0946F05FAC9E}"/>
            </a:ext>
          </a:extLst>
        </xdr:cNvPr>
        <xdr:cNvSpPr/>
      </xdr:nvSpPr>
      <xdr:spPr>
        <a:xfrm rot="5400000">
          <a:off x="13504968986" y="18362249"/>
          <a:ext cx="347779" cy="8401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296985</xdr:colOff>
      <xdr:row>91</xdr:row>
      <xdr:rowOff>171945</xdr:rowOff>
    </xdr:from>
    <xdr:to>
      <xdr:col>3</xdr:col>
      <xdr:colOff>597879</xdr:colOff>
      <xdr:row>93</xdr:row>
      <xdr:rowOff>70339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5834A417-A7E3-40C3-E9EB-603352230EA7}"/>
            </a:ext>
          </a:extLst>
        </xdr:cNvPr>
        <xdr:cNvSpPr/>
      </xdr:nvSpPr>
      <xdr:spPr>
        <a:xfrm rot="5400000">
          <a:off x="13506324956" y="18252833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402493</xdr:colOff>
      <xdr:row>91</xdr:row>
      <xdr:rowOff>85977</xdr:rowOff>
    </xdr:from>
    <xdr:to>
      <xdr:col>1</xdr:col>
      <xdr:colOff>703387</xdr:colOff>
      <xdr:row>92</xdr:row>
      <xdr:rowOff>187571</xdr:rowOff>
    </xdr:to>
    <xdr:sp macro="" textlink="">
      <xdr:nvSpPr>
        <xdr:cNvPr id="79" name="Left Brace 78">
          <a:extLst>
            <a:ext uri="{FF2B5EF4-FFF2-40B4-BE49-F238E27FC236}">
              <a16:creationId xmlns:a16="http://schemas.microsoft.com/office/drawing/2014/main" id="{971AB15E-3B1F-4625-9715-0D2BB3D39123}"/>
            </a:ext>
          </a:extLst>
        </xdr:cNvPr>
        <xdr:cNvSpPr/>
      </xdr:nvSpPr>
      <xdr:spPr>
        <a:xfrm rot="5400000">
          <a:off x="13507868494" y="18166865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336062</xdr:colOff>
      <xdr:row>97</xdr:row>
      <xdr:rowOff>177799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𝑃𝑀𝑇=30,000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336062</xdr:colOff>
      <xdr:row>99</xdr:row>
      <xdr:rowOff>9768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=5∗12=60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𝑛=5∗12=60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347785</xdr:colOff>
      <xdr:row>100</xdr:row>
      <xdr:rowOff>17584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203200</xdr:colOff>
      <xdr:row>96</xdr:row>
      <xdr:rowOff>70346</xdr:rowOff>
    </xdr:from>
    <xdr:to>
      <xdr:col>3</xdr:col>
      <xdr:colOff>504094</xdr:colOff>
      <xdr:row>97</xdr:row>
      <xdr:rowOff>171940</xdr:rowOff>
    </xdr:to>
    <xdr:sp macro="" textlink="">
      <xdr:nvSpPr>
        <xdr:cNvPr id="83" name="Left Brace 82">
          <a:extLst>
            <a:ext uri="{FF2B5EF4-FFF2-40B4-BE49-F238E27FC236}">
              <a16:creationId xmlns:a16="http://schemas.microsoft.com/office/drawing/2014/main" id="{5A1D6BC6-3214-0389-F430-C19CA168C88E}"/>
            </a:ext>
          </a:extLst>
        </xdr:cNvPr>
        <xdr:cNvSpPr/>
      </xdr:nvSpPr>
      <xdr:spPr>
        <a:xfrm rot="16200000">
          <a:off x="13506418741" y="19167234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128954</xdr:colOff>
      <xdr:row>97</xdr:row>
      <xdr:rowOff>189523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113323</xdr:colOff>
      <xdr:row>98</xdr:row>
      <xdr:rowOff>185615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=2∗12=24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𝑛=2∗12=24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128954</xdr:colOff>
      <xdr:row>99</xdr:row>
      <xdr:rowOff>197338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96</xdr:row>
      <xdr:rowOff>181707</xdr:rowOff>
    </xdr:from>
    <xdr:ext cx="1066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644769</xdr:colOff>
      <xdr:row>95</xdr:row>
      <xdr:rowOff>15631</xdr:rowOff>
    </xdr:from>
    <xdr:to>
      <xdr:col>1</xdr:col>
      <xdr:colOff>593969</xdr:colOff>
      <xdr:row>96</xdr:row>
      <xdr:rowOff>35169</xdr:rowOff>
    </xdr:to>
    <xdr:sp macro="" textlink="">
      <xdr:nvSpPr>
        <xdr:cNvPr id="88" name="Rounded Rectangle 87">
          <a:extLst>
            <a:ext uri="{FF2B5EF4-FFF2-40B4-BE49-F238E27FC236}">
              <a16:creationId xmlns:a16="http://schemas.microsoft.com/office/drawing/2014/main" id="{2D502D86-98F1-6F77-3AC2-3911F1BB6770}"/>
            </a:ext>
          </a:extLst>
        </xdr:cNvPr>
        <xdr:cNvSpPr/>
      </xdr:nvSpPr>
      <xdr:spPr>
        <a:xfrm>
          <a:off x="13507567600" y="1931963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2</xdr:col>
      <xdr:colOff>449384</xdr:colOff>
      <xdr:row>95</xdr:row>
      <xdr:rowOff>31261</xdr:rowOff>
    </xdr:from>
    <xdr:to>
      <xdr:col>3</xdr:col>
      <xdr:colOff>398584</xdr:colOff>
      <xdr:row>96</xdr:row>
      <xdr:rowOff>50799</xdr:rowOff>
    </xdr:to>
    <xdr:sp macro="" textlink="">
      <xdr:nvSpPr>
        <xdr:cNvPr id="89" name="Rounded Rectangle 88">
          <a:extLst>
            <a:ext uri="{FF2B5EF4-FFF2-40B4-BE49-F238E27FC236}">
              <a16:creationId xmlns:a16="http://schemas.microsoft.com/office/drawing/2014/main" id="{84663F93-9F99-FEF0-87A6-8758E87E4617}"/>
            </a:ext>
          </a:extLst>
        </xdr:cNvPr>
        <xdr:cNvSpPr/>
      </xdr:nvSpPr>
      <xdr:spPr>
        <a:xfrm>
          <a:off x="13506113939" y="1933526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4</xdr:col>
      <xdr:colOff>246184</xdr:colOff>
      <xdr:row>95</xdr:row>
      <xdr:rowOff>58614</xdr:rowOff>
    </xdr:from>
    <xdr:to>
      <xdr:col>5</xdr:col>
      <xdr:colOff>195384</xdr:colOff>
      <xdr:row>96</xdr:row>
      <xdr:rowOff>78152</xdr:rowOff>
    </xdr:to>
    <xdr:sp macro="" textlink="">
      <xdr:nvSpPr>
        <xdr:cNvPr id="90" name="Rounded Rectangle 89">
          <a:extLst>
            <a:ext uri="{FF2B5EF4-FFF2-40B4-BE49-F238E27FC236}">
              <a16:creationId xmlns:a16="http://schemas.microsoft.com/office/drawing/2014/main" id="{AEE897AC-6431-BFFA-040D-081C4BEF6BB9}"/>
            </a:ext>
          </a:extLst>
        </xdr:cNvPr>
        <xdr:cNvSpPr/>
      </xdr:nvSpPr>
      <xdr:spPr>
        <a:xfrm>
          <a:off x="13504668093" y="193626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ג</a:t>
          </a:r>
          <a:endParaRPr lang="en-US" sz="1100"/>
        </a:p>
      </xdr:txBody>
    </xdr:sp>
    <xdr:clientData/>
  </xdr:twoCellAnchor>
  <xdr:twoCellAnchor>
    <xdr:from>
      <xdr:col>5</xdr:col>
      <xdr:colOff>824523</xdr:colOff>
      <xdr:row>95</xdr:row>
      <xdr:rowOff>7814</xdr:rowOff>
    </xdr:from>
    <xdr:to>
      <xdr:col>6</xdr:col>
      <xdr:colOff>773723</xdr:colOff>
      <xdr:row>96</xdr:row>
      <xdr:rowOff>27352</xdr:rowOff>
    </xdr:to>
    <xdr:sp macro="" textlink="">
      <xdr:nvSpPr>
        <xdr:cNvPr id="91" name="Rounded Rectangle 90">
          <a:extLst>
            <a:ext uri="{FF2B5EF4-FFF2-40B4-BE49-F238E27FC236}">
              <a16:creationId xmlns:a16="http://schemas.microsoft.com/office/drawing/2014/main" id="{5EDFA234-2640-C135-C7E2-3A1F724CE9A1}"/>
            </a:ext>
          </a:extLst>
        </xdr:cNvPr>
        <xdr:cNvSpPr/>
      </xdr:nvSpPr>
      <xdr:spPr>
        <a:xfrm>
          <a:off x="13503265231" y="193118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ד</a:t>
          </a:r>
          <a:endParaRPr lang="en-US" sz="1100"/>
        </a:p>
      </xdr:txBody>
    </xdr:sp>
    <xdr:clientData/>
  </xdr:twoCellAnchor>
  <xdr:twoCellAnchor>
    <xdr:from>
      <xdr:col>8</xdr:col>
      <xdr:colOff>66429</xdr:colOff>
      <xdr:row>95</xdr:row>
      <xdr:rowOff>42984</xdr:rowOff>
    </xdr:from>
    <xdr:to>
      <xdr:col>9</xdr:col>
      <xdr:colOff>15629</xdr:colOff>
      <xdr:row>96</xdr:row>
      <xdr:rowOff>62522</xdr:rowOff>
    </xdr:to>
    <xdr:sp macro="" textlink="">
      <xdr:nvSpPr>
        <xdr:cNvPr id="92" name="Rounded Rectangle 91">
          <a:extLst>
            <a:ext uri="{FF2B5EF4-FFF2-40B4-BE49-F238E27FC236}">
              <a16:creationId xmlns:a16="http://schemas.microsoft.com/office/drawing/2014/main" id="{1087A9CA-D153-3D3D-25B9-87FADF07EA13}"/>
            </a:ext>
          </a:extLst>
        </xdr:cNvPr>
        <xdr:cNvSpPr/>
      </xdr:nvSpPr>
      <xdr:spPr>
        <a:xfrm>
          <a:off x="13501549755" y="1934698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ה</a:t>
          </a:r>
          <a:endParaRPr lang="en-US" sz="1100"/>
        </a:p>
      </xdr:txBody>
    </xdr:sp>
    <xdr:clientData/>
  </xdr:twoCellAnchor>
  <xdr:twoCellAnchor>
    <xdr:from>
      <xdr:col>5</xdr:col>
      <xdr:colOff>664308</xdr:colOff>
      <xdr:row>106</xdr:row>
      <xdr:rowOff>132862</xdr:rowOff>
    </xdr:from>
    <xdr:to>
      <xdr:col>6</xdr:col>
      <xdr:colOff>46893</xdr:colOff>
      <xdr:row>108</xdr:row>
      <xdr:rowOff>39077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BA083C2-6827-654C-BE33-1C7E37C0CAFE}"/>
            </a:ext>
          </a:extLst>
        </xdr:cNvPr>
        <xdr:cNvCxnSpPr/>
      </xdr:nvCxnSpPr>
      <xdr:spPr>
        <a:xfrm flipH="1" flipV="1">
          <a:off x="13532416862" y="14343643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664308</xdr:colOff>
      <xdr:row>106</xdr:row>
      <xdr:rowOff>132862</xdr:rowOff>
    </xdr:from>
    <xdr:to>
      <xdr:col>4</xdr:col>
      <xdr:colOff>46893</xdr:colOff>
      <xdr:row>108</xdr:row>
      <xdr:rowOff>39077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C00B8090-6CC6-704F-B526-115FFDFDB180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106</xdr:row>
      <xdr:rowOff>132862</xdr:rowOff>
    </xdr:from>
    <xdr:to>
      <xdr:col>5</xdr:col>
      <xdr:colOff>46893</xdr:colOff>
      <xdr:row>108</xdr:row>
      <xdr:rowOff>39077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1DCC6CA8-2BB1-BE4F-BBCC-B5F0AA7B21B5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106</xdr:row>
      <xdr:rowOff>132862</xdr:rowOff>
    </xdr:from>
    <xdr:to>
      <xdr:col>3</xdr:col>
      <xdr:colOff>46893</xdr:colOff>
      <xdr:row>108</xdr:row>
      <xdr:rowOff>39077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3F5FA3EE-C396-D043-820B-05D98142F8E1}"/>
            </a:ext>
          </a:extLst>
        </xdr:cNvPr>
        <xdr:cNvCxnSpPr/>
      </xdr:nvCxnSpPr>
      <xdr:spPr>
        <a:xfrm flipH="1" flipV="1">
          <a:off x="13533243070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444111</xdr:colOff>
      <xdr:row>97</xdr:row>
      <xdr:rowOff>202576</xdr:rowOff>
    </xdr:from>
    <xdr:to>
      <xdr:col>0</xdr:col>
      <xdr:colOff>455798</xdr:colOff>
      <xdr:row>100</xdr:row>
      <xdr:rowOff>50644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34CD0339-75A2-65D5-20FF-4667568CBFF6}"/>
            </a:ext>
          </a:extLst>
        </xdr:cNvPr>
        <xdr:cNvCxnSpPr/>
      </xdr:nvCxnSpPr>
      <xdr:spPr>
        <a:xfrm>
          <a:off x="13530918926" y="19852515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38957</xdr:colOff>
      <xdr:row>97</xdr:row>
      <xdr:rowOff>81810</xdr:rowOff>
    </xdr:from>
    <xdr:to>
      <xdr:col>2</xdr:col>
      <xdr:colOff>38957</xdr:colOff>
      <xdr:row>100</xdr:row>
      <xdr:rowOff>38957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1AA2189-FC70-97B1-9E4E-1CCBAE468AFF}"/>
            </a:ext>
          </a:extLst>
        </xdr:cNvPr>
        <xdr:cNvCxnSpPr/>
      </xdr:nvCxnSpPr>
      <xdr:spPr>
        <a:xfrm>
          <a:off x="13529683988" y="19731749"/>
          <a:ext cx="0" cy="56487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448007</xdr:colOff>
      <xdr:row>100</xdr:row>
      <xdr:rowOff>35061</xdr:rowOff>
    </xdr:from>
    <xdr:to>
      <xdr:col>2</xdr:col>
      <xdr:colOff>46749</xdr:colOff>
      <xdr:row>100</xdr:row>
      <xdr:rowOff>50644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B6B8C1F2-7FEF-E5BE-FA7C-1285B3AD8E1C}"/>
            </a:ext>
          </a:extLst>
        </xdr:cNvPr>
        <xdr:cNvCxnSpPr/>
      </xdr:nvCxnSpPr>
      <xdr:spPr>
        <a:xfrm flipH="1" flipV="1">
          <a:off x="13529676196" y="20292730"/>
          <a:ext cx="1250521" cy="1558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486964</xdr:colOff>
      <xdr:row>97</xdr:row>
      <xdr:rowOff>128558</xdr:rowOff>
    </xdr:from>
    <xdr:to>
      <xdr:col>3</xdr:col>
      <xdr:colOff>498651</xdr:colOff>
      <xdr:row>99</xdr:row>
      <xdr:rowOff>179203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2B560062-B5B4-FE56-BAF1-571EAB9D955C}"/>
            </a:ext>
          </a:extLst>
        </xdr:cNvPr>
        <xdr:cNvCxnSpPr/>
      </xdr:nvCxnSpPr>
      <xdr:spPr>
        <a:xfrm>
          <a:off x="13528398404" y="19778497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38957</xdr:colOff>
      <xdr:row>96</xdr:row>
      <xdr:rowOff>186994</xdr:rowOff>
    </xdr:from>
    <xdr:to>
      <xdr:col>4</xdr:col>
      <xdr:colOff>58436</xdr:colOff>
      <xdr:row>99</xdr:row>
      <xdr:rowOff>179203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3C7281D-B93D-CD35-8E95-A96DA82C8521}"/>
            </a:ext>
          </a:extLst>
        </xdr:cNvPr>
        <xdr:cNvCxnSpPr/>
      </xdr:nvCxnSpPr>
      <xdr:spPr>
        <a:xfrm>
          <a:off x="13528012730" y="19634356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490860</xdr:colOff>
      <xdr:row>99</xdr:row>
      <xdr:rowOff>175307</xdr:rowOff>
    </xdr:from>
    <xdr:to>
      <xdr:col>4</xdr:col>
      <xdr:colOff>38957</xdr:colOff>
      <xdr:row>99</xdr:row>
      <xdr:rowOff>179203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32F591A-5EE6-D2FE-F06D-4A79ECB14D8E}"/>
            </a:ext>
          </a:extLst>
        </xdr:cNvPr>
        <xdr:cNvCxnSpPr/>
      </xdr:nvCxnSpPr>
      <xdr:spPr>
        <a:xfrm flipH="1" flipV="1">
          <a:off x="13528032209" y="20230399"/>
          <a:ext cx="373986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315552</xdr:colOff>
      <xdr:row>96</xdr:row>
      <xdr:rowOff>171411</xdr:rowOff>
    </xdr:from>
    <xdr:to>
      <xdr:col>5</xdr:col>
      <xdr:colOff>335031</xdr:colOff>
      <xdr:row>99</xdr:row>
      <xdr:rowOff>163620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E684475-0D2A-1A70-32F3-E816F9E621C0}"/>
            </a:ext>
          </a:extLst>
        </xdr:cNvPr>
        <xdr:cNvCxnSpPr/>
      </xdr:nvCxnSpPr>
      <xdr:spPr>
        <a:xfrm>
          <a:off x="13526910245" y="19618773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206473</xdr:colOff>
      <xdr:row>99</xdr:row>
      <xdr:rowOff>175307</xdr:rowOff>
    </xdr:from>
    <xdr:to>
      <xdr:col>5</xdr:col>
      <xdr:colOff>331135</xdr:colOff>
      <xdr:row>99</xdr:row>
      <xdr:rowOff>179202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B4F7F72-AC3D-2800-2198-EA4DF6D94E16}"/>
            </a:ext>
          </a:extLst>
        </xdr:cNvPr>
        <xdr:cNvCxnSpPr/>
      </xdr:nvCxnSpPr>
      <xdr:spPr>
        <a:xfrm flipH="1" flipV="1">
          <a:off x="13526914141" y="20230399"/>
          <a:ext cx="950552" cy="389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198681</xdr:colOff>
      <xdr:row>96</xdr:row>
      <xdr:rowOff>198681</xdr:rowOff>
    </xdr:from>
    <xdr:to>
      <xdr:col>4</xdr:col>
      <xdr:colOff>218161</xdr:colOff>
      <xdr:row>99</xdr:row>
      <xdr:rowOff>190890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DC9CC342-D720-3C6C-CE84-B88017728A50}"/>
            </a:ext>
          </a:extLst>
        </xdr:cNvPr>
        <xdr:cNvCxnSpPr/>
      </xdr:nvCxnSpPr>
      <xdr:spPr>
        <a:xfrm>
          <a:off x="13527853005" y="19646043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405154</xdr:colOff>
      <xdr:row>97</xdr:row>
      <xdr:rowOff>3895</xdr:rowOff>
    </xdr:from>
    <xdr:to>
      <xdr:col>7</xdr:col>
      <xdr:colOff>424633</xdr:colOff>
      <xdr:row>99</xdr:row>
      <xdr:rowOff>198681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9FFAA9F5-E627-FFE7-FD15-A3A312CCC5EF}"/>
            </a:ext>
          </a:extLst>
        </xdr:cNvPr>
        <xdr:cNvCxnSpPr/>
      </xdr:nvCxnSpPr>
      <xdr:spPr>
        <a:xfrm>
          <a:off x="13525168864" y="19653834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19479</xdr:colOff>
      <xdr:row>99</xdr:row>
      <xdr:rowOff>202576</xdr:rowOff>
    </xdr:from>
    <xdr:to>
      <xdr:col>7</xdr:col>
      <xdr:colOff>416841</xdr:colOff>
      <xdr:row>100</xdr:row>
      <xdr:rowOff>3895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21112A7-59F3-A63B-ED8A-B3EFB502DECB}"/>
            </a:ext>
          </a:extLst>
        </xdr:cNvPr>
        <xdr:cNvCxnSpPr/>
      </xdr:nvCxnSpPr>
      <xdr:spPr>
        <a:xfrm flipH="1">
          <a:off x="13525176656" y="20257668"/>
          <a:ext cx="397362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11687</xdr:colOff>
      <xdr:row>97</xdr:row>
      <xdr:rowOff>19478</xdr:rowOff>
    </xdr:from>
    <xdr:to>
      <xdr:col>7</xdr:col>
      <xdr:colOff>31167</xdr:colOff>
      <xdr:row>100</xdr:row>
      <xdr:rowOff>11687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25641853-C510-BD14-3E13-E7E30A83A33B}"/>
            </a:ext>
          </a:extLst>
        </xdr:cNvPr>
        <xdr:cNvCxnSpPr/>
      </xdr:nvCxnSpPr>
      <xdr:spPr>
        <a:xfrm>
          <a:off x="13525562330" y="19669417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455797</xdr:colOff>
      <xdr:row>110</xdr:row>
      <xdr:rowOff>183098</xdr:rowOff>
    </xdr:from>
    <xdr:to>
      <xdr:col>2</xdr:col>
      <xdr:colOff>771349</xdr:colOff>
      <xdr:row>115</xdr:row>
      <xdr:rowOff>116871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8BE06DD5-FA59-F94D-87D4-AE12F5DBDAF6}"/>
            </a:ext>
          </a:extLst>
        </xdr:cNvPr>
        <xdr:cNvGrpSpPr/>
      </xdr:nvGrpSpPr>
      <xdr:grpSpPr>
        <a:xfrm>
          <a:off x="13557748651" y="22681600"/>
          <a:ext cx="1143193" cy="956432"/>
          <a:chOff x="13502407493" y="16259908"/>
          <a:chExt cx="1513513" cy="1358900"/>
        </a:xfrm>
      </xdr:grpSpPr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C88922E-02F6-F3B5-8FBE-33C32F9427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126" name="Freeform 125">
            <a:extLst>
              <a:ext uri="{FF2B5EF4-FFF2-40B4-BE49-F238E27FC236}">
                <a16:creationId xmlns:a16="http://schemas.microsoft.com/office/drawing/2014/main" id="{C55194F5-7AB3-4EDA-07F5-D5E4A3B4339C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26D2E6CC-C6CA-9A36-46FC-AD50D57E7A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444822</xdr:colOff>
      <xdr:row>122</xdr:row>
      <xdr:rowOff>38681</xdr:rowOff>
    </xdr:from>
    <xdr:to>
      <xdr:col>7</xdr:col>
      <xdr:colOff>178767</xdr:colOff>
      <xdr:row>128</xdr:row>
      <xdr:rowOff>166455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AC99600-1BB9-2A29-7F9A-2F19A0AC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3755853" y="24813351"/>
          <a:ext cx="1384300" cy="1346200"/>
        </a:xfrm>
        <a:prstGeom prst="rect">
          <a:avLst/>
        </a:prstGeom>
      </xdr:spPr>
    </xdr:pic>
    <xdr:clientData/>
  </xdr:twoCellAnchor>
  <xdr:twoCellAnchor>
    <xdr:from>
      <xdr:col>5</xdr:col>
      <xdr:colOff>815508</xdr:colOff>
      <xdr:row>124</xdr:row>
      <xdr:rowOff>148274</xdr:rowOff>
    </xdr:from>
    <xdr:to>
      <xdr:col>6</xdr:col>
      <xdr:colOff>96701</xdr:colOff>
      <xdr:row>125</xdr:row>
      <xdr:rowOff>25787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3134DFBF-168F-4E98-9F41-14BAADC438CD}"/>
            </a:ext>
          </a:extLst>
        </xdr:cNvPr>
        <xdr:cNvSpPr/>
      </xdr:nvSpPr>
      <xdr:spPr>
        <a:xfrm>
          <a:off x="13514663096" y="25329086"/>
          <a:ext cx="106371" cy="8058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315888</xdr:colOff>
      <xdr:row>124</xdr:row>
      <xdr:rowOff>157944</xdr:rowOff>
    </xdr:from>
    <xdr:to>
      <xdr:col>6</xdr:col>
      <xdr:colOff>415812</xdr:colOff>
      <xdr:row>125</xdr:row>
      <xdr:rowOff>25787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7EE1410A-E768-2A43-E662-F10FABB486FB}"/>
            </a:ext>
          </a:extLst>
        </xdr:cNvPr>
        <xdr:cNvSpPr/>
      </xdr:nvSpPr>
      <xdr:spPr>
        <a:xfrm>
          <a:off x="13514343985" y="25338756"/>
          <a:ext cx="99924" cy="7091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203071</xdr:colOff>
      <xdr:row>122</xdr:row>
      <xdr:rowOff>63086</xdr:rowOff>
    </xdr:from>
    <xdr:to>
      <xdr:col>6</xdr:col>
      <xdr:colOff>796305</xdr:colOff>
      <xdr:row>128</xdr:row>
      <xdr:rowOff>132158</xdr:rowOff>
    </xdr:to>
    <xdr:sp macro="" textlink="">
      <xdr:nvSpPr>
        <xdr:cNvPr id="131" name="Freeform 130">
          <a:extLst>
            <a:ext uri="{FF2B5EF4-FFF2-40B4-BE49-F238E27FC236}">
              <a16:creationId xmlns:a16="http://schemas.microsoft.com/office/drawing/2014/main" id="{0FFEE836-C1D9-D879-90FA-D62C8232FED9}"/>
            </a:ext>
          </a:extLst>
        </xdr:cNvPr>
        <xdr:cNvSpPr/>
      </xdr:nvSpPr>
      <xdr:spPr>
        <a:xfrm>
          <a:off x="13513963492" y="24837756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547969</xdr:colOff>
      <xdr:row>121</xdr:row>
      <xdr:rowOff>175903</xdr:rowOff>
    </xdr:from>
    <xdr:to>
      <xdr:col>6</xdr:col>
      <xdr:colOff>316025</xdr:colOff>
      <xdr:row>128</xdr:row>
      <xdr:rowOff>41904</xdr:rowOff>
    </xdr:to>
    <xdr:sp macro="" textlink="">
      <xdr:nvSpPr>
        <xdr:cNvPr id="132" name="Freeform 131">
          <a:extLst>
            <a:ext uri="{FF2B5EF4-FFF2-40B4-BE49-F238E27FC236}">
              <a16:creationId xmlns:a16="http://schemas.microsoft.com/office/drawing/2014/main" id="{58EDFED1-6224-8F6D-E429-1541D9D2DA44}"/>
            </a:ext>
          </a:extLst>
        </xdr:cNvPr>
        <xdr:cNvSpPr/>
      </xdr:nvSpPr>
      <xdr:spPr>
        <a:xfrm rot="9035007">
          <a:off x="13514443772" y="24747502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248198</xdr:colOff>
      <xdr:row>124</xdr:row>
      <xdr:rowOff>125710</xdr:rowOff>
    </xdr:from>
    <xdr:to>
      <xdr:col>6</xdr:col>
      <xdr:colOff>483503</xdr:colOff>
      <xdr:row>125</xdr:row>
      <xdr:rowOff>58020</xdr:rowOff>
    </xdr:to>
    <xdr:sp macro="" textlink="">
      <xdr:nvSpPr>
        <xdr:cNvPr id="133" name="Rectangle 132">
          <a:extLst>
            <a:ext uri="{FF2B5EF4-FFF2-40B4-BE49-F238E27FC236}">
              <a16:creationId xmlns:a16="http://schemas.microsoft.com/office/drawing/2014/main" id="{0C8E6233-144D-574B-53B3-8251DB06D57D}"/>
            </a:ext>
          </a:extLst>
        </xdr:cNvPr>
        <xdr:cNvSpPr/>
      </xdr:nvSpPr>
      <xdr:spPr>
        <a:xfrm>
          <a:off x="13514276294" y="25306522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760711</xdr:colOff>
      <xdr:row>124</xdr:row>
      <xdr:rowOff>122487</xdr:rowOff>
    </xdr:from>
    <xdr:to>
      <xdr:col>6</xdr:col>
      <xdr:colOff>170838</xdr:colOff>
      <xdr:row>125</xdr:row>
      <xdr:rowOff>54797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56447C1-E8C6-4720-C77C-ACD6C3F47A21}"/>
            </a:ext>
          </a:extLst>
        </xdr:cNvPr>
        <xdr:cNvSpPr/>
      </xdr:nvSpPr>
      <xdr:spPr>
        <a:xfrm>
          <a:off x="13514588959" y="25303299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141827</xdr:colOff>
      <xdr:row>124</xdr:row>
      <xdr:rowOff>193401</xdr:rowOff>
    </xdr:from>
    <xdr:to>
      <xdr:col>6</xdr:col>
      <xdr:colOff>248198</xdr:colOff>
      <xdr:row>124</xdr:row>
      <xdr:rowOff>196625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B2404FD4-B939-327F-1999-BA342EDB138E}"/>
            </a:ext>
          </a:extLst>
        </xdr:cNvPr>
        <xdr:cNvCxnSpPr>
          <a:stCxn id="133" idx="3"/>
        </xdr:cNvCxnSpPr>
      </xdr:nvCxnSpPr>
      <xdr:spPr>
        <a:xfrm>
          <a:off x="13514511599" y="25374213"/>
          <a:ext cx="106371" cy="3224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174061</xdr:colOff>
      <xdr:row>126</xdr:row>
      <xdr:rowOff>135381</xdr:rowOff>
    </xdr:from>
    <xdr:to>
      <xdr:col>5</xdr:col>
      <xdr:colOff>228858</xdr:colOff>
      <xdr:row>126</xdr:row>
      <xdr:rowOff>141828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A1F84A8B-6461-D694-944A-086BAFC1C642}"/>
            </a:ext>
          </a:extLst>
        </xdr:cNvPr>
        <xdr:cNvCxnSpPr/>
      </xdr:nvCxnSpPr>
      <xdr:spPr>
        <a:xfrm flipV="1">
          <a:off x="13515356117" y="25722335"/>
          <a:ext cx="4180685" cy="64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40291</xdr:colOff>
      <xdr:row>126</xdr:row>
      <xdr:rowOff>88643</xdr:rowOff>
    </xdr:from>
    <xdr:to>
      <xdr:col>4</xdr:col>
      <xdr:colOff>759098</xdr:colOff>
      <xdr:row>127</xdr:row>
      <xdr:rowOff>111206</xdr:rowOff>
    </xdr:to>
    <xdr:sp macro="" textlink="">
      <xdr:nvSpPr>
        <xdr:cNvPr id="140" name="Left Brace 139">
          <a:extLst>
            <a:ext uri="{FF2B5EF4-FFF2-40B4-BE49-F238E27FC236}">
              <a16:creationId xmlns:a16="http://schemas.microsoft.com/office/drawing/2014/main" id="{678751CD-3E4A-2DBE-2EE6-F5953A0CE582}"/>
            </a:ext>
          </a:extLst>
        </xdr:cNvPr>
        <xdr:cNvSpPr/>
      </xdr:nvSpPr>
      <xdr:spPr>
        <a:xfrm rot="16200000">
          <a:off x="13515897641" y="25429010"/>
          <a:ext cx="225634" cy="7188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415810</xdr:colOff>
      <xdr:row>126</xdr:row>
      <xdr:rowOff>88643</xdr:rowOff>
    </xdr:from>
    <xdr:to>
      <xdr:col>3</xdr:col>
      <xdr:colOff>723639</xdr:colOff>
      <xdr:row>127</xdr:row>
      <xdr:rowOff>106371</xdr:rowOff>
    </xdr:to>
    <xdr:sp macro="" textlink="">
      <xdr:nvSpPr>
        <xdr:cNvPr id="141" name="Left Brace 140">
          <a:extLst>
            <a:ext uri="{FF2B5EF4-FFF2-40B4-BE49-F238E27FC236}">
              <a16:creationId xmlns:a16="http://schemas.microsoft.com/office/drawing/2014/main" id="{BA800929-AAC9-7B3F-FD13-0D4FB6BE01E4}"/>
            </a:ext>
          </a:extLst>
        </xdr:cNvPr>
        <xdr:cNvSpPr/>
      </xdr:nvSpPr>
      <xdr:spPr>
        <a:xfrm rot="16200000">
          <a:off x="13516967795" y="25219493"/>
          <a:ext cx="220799" cy="11330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383575</xdr:colOff>
      <xdr:row>127</xdr:row>
      <xdr:rowOff>193401</xdr:rowOff>
    </xdr:from>
    <xdr:to>
      <xdr:col>2</xdr:col>
      <xdr:colOff>254644</xdr:colOff>
      <xdr:row>129</xdr:row>
      <xdr:rowOff>70912</xdr:rowOff>
    </xdr:to>
    <xdr:sp macro="" textlink="">
      <xdr:nvSpPr>
        <xdr:cNvPr id="142" name="Left Brace 141">
          <a:extLst>
            <a:ext uri="{FF2B5EF4-FFF2-40B4-BE49-F238E27FC236}">
              <a16:creationId xmlns:a16="http://schemas.microsoft.com/office/drawing/2014/main" id="{40D4DF3C-5AF9-BD4B-C2C9-F8334E05090F}"/>
            </a:ext>
          </a:extLst>
        </xdr:cNvPr>
        <xdr:cNvSpPr/>
      </xdr:nvSpPr>
      <xdr:spPr>
        <a:xfrm rot="16200000">
          <a:off x="13518424749" y="25364541"/>
          <a:ext cx="283654" cy="1521424"/>
        </a:xfrm>
        <a:prstGeom prst="leftBrac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783274</xdr:colOff>
      <xdr:row>125</xdr:row>
      <xdr:rowOff>41904</xdr:rowOff>
    </xdr:from>
    <xdr:to>
      <xdr:col>1</xdr:col>
      <xdr:colOff>776827</xdr:colOff>
      <xdr:row>126</xdr:row>
      <xdr:rowOff>70914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C427B4BA-B3C7-0F1E-9051-3C66A67935A6}"/>
            </a:ext>
          </a:extLst>
        </xdr:cNvPr>
        <xdr:cNvSpPr/>
      </xdr:nvSpPr>
      <xdr:spPr>
        <a:xfrm>
          <a:off x="13518108858" y="25425787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א</a:t>
          </a:r>
          <a:endParaRPr lang="en-US" sz="1100"/>
        </a:p>
      </xdr:txBody>
    </xdr:sp>
    <xdr:clientData/>
  </xdr:twoCellAnchor>
  <xdr:twoCellAnchor>
    <xdr:from>
      <xdr:col>2</xdr:col>
      <xdr:colOff>651117</xdr:colOff>
      <xdr:row>124</xdr:row>
      <xdr:rowOff>16117</xdr:rowOff>
    </xdr:from>
    <xdr:to>
      <xdr:col>3</xdr:col>
      <xdr:colOff>644670</xdr:colOff>
      <xdr:row>125</xdr:row>
      <xdr:rowOff>45127</xdr:rowOff>
    </xdr:to>
    <xdr:sp macro="" textlink="">
      <xdr:nvSpPr>
        <xdr:cNvPr id="144" name="Rounded Rectangle 143">
          <a:extLst>
            <a:ext uri="{FF2B5EF4-FFF2-40B4-BE49-F238E27FC236}">
              <a16:creationId xmlns:a16="http://schemas.microsoft.com/office/drawing/2014/main" id="{04EF244C-1E1D-0B53-48BE-6AC07A02B61C}"/>
            </a:ext>
          </a:extLst>
        </xdr:cNvPr>
        <xdr:cNvSpPr/>
      </xdr:nvSpPr>
      <xdr:spPr>
        <a:xfrm>
          <a:off x="13516590660" y="2519692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ב</a:t>
          </a:r>
          <a:endParaRPr lang="en-US" sz="1100"/>
        </a:p>
      </xdr:txBody>
    </xdr:sp>
    <xdr:clientData/>
  </xdr:twoCellAnchor>
  <xdr:twoCellAnchor>
    <xdr:from>
      <xdr:col>4</xdr:col>
      <xdr:colOff>70914</xdr:colOff>
      <xdr:row>123</xdr:row>
      <xdr:rowOff>199848</xdr:rowOff>
    </xdr:from>
    <xdr:to>
      <xdr:col>5</xdr:col>
      <xdr:colOff>64468</xdr:colOff>
      <xdr:row>125</xdr:row>
      <xdr:rowOff>25787</xdr:rowOff>
    </xdr:to>
    <xdr:sp macro="" textlink="">
      <xdr:nvSpPr>
        <xdr:cNvPr id="145" name="Rounded Rectangle 144">
          <a:extLst>
            <a:ext uri="{FF2B5EF4-FFF2-40B4-BE49-F238E27FC236}">
              <a16:creationId xmlns:a16="http://schemas.microsoft.com/office/drawing/2014/main" id="{8D50EAC4-C58F-00F9-0B7F-706034B138FE}"/>
            </a:ext>
          </a:extLst>
        </xdr:cNvPr>
        <xdr:cNvSpPr/>
      </xdr:nvSpPr>
      <xdr:spPr>
        <a:xfrm>
          <a:off x="13515520507" y="2517758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ג</a:t>
          </a:r>
          <a:endParaRPr lang="en-US" sz="1100"/>
        </a:p>
      </xdr:txBody>
    </xdr:sp>
    <xdr:clientData/>
  </xdr:twoCellAnchor>
  <xdr:twoCellAnchor>
    <xdr:from>
      <xdr:col>3</xdr:col>
      <xdr:colOff>664308</xdr:colOff>
      <xdr:row>136</xdr:row>
      <xdr:rowOff>132862</xdr:rowOff>
    </xdr:from>
    <xdr:to>
      <xdr:col>4</xdr:col>
      <xdr:colOff>46893</xdr:colOff>
      <xdr:row>138</xdr:row>
      <xdr:rowOff>39077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C505E60C-8CF4-9146-BCEE-462419159FF2}"/>
            </a:ext>
          </a:extLst>
        </xdr:cNvPr>
        <xdr:cNvCxnSpPr/>
      </xdr:nvCxnSpPr>
      <xdr:spPr>
        <a:xfrm flipH="1" flipV="1">
          <a:off x="13526372494" y="21605991"/>
          <a:ext cx="208474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136</xdr:row>
      <xdr:rowOff>132862</xdr:rowOff>
    </xdr:from>
    <xdr:to>
      <xdr:col>3</xdr:col>
      <xdr:colOff>46893</xdr:colOff>
      <xdr:row>138</xdr:row>
      <xdr:rowOff>39077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59CF0C2D-ABEA-CF4A-B70F-08BCDB860748}"/>
            </a:ext>
          </a:extLst>
        </xdr:cNvPr>
        <xdr:cNvCxnSpPr/>
      </xdr:nvCxnSpPr>
      <xdr:spPr>
        <a:xfrm flipH="1" flipV="1">
          <a:off x="13527198383" y="21605991"/>
          <a:ext cx="208475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689541</xdr:colOff>
      <xdr:row>127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=4,000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𝑃𝑀𝑇=4,000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697333</xdr:colOff>
      <xdr:row>128</xdr:row>
      <xdr:rowOff>39502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693437</xdr:colOff>
      <xdr:row>128</xdr:row>
      <xdr:rowOff>175852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525922</xdr:colOff>
      <xdr:row>127</xdr:row>
      <xdr:rowOff>144686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𝑃𝑀𝑇=6,000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471383</xdr:colOff>
      <xdr:row>128</xdr:row>
      <xdr:rowOff>70668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𝑛=24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459695</xdr:colOff>
      <xdr:row>129</xdr:row>
      <xdr:rowOff>4441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615524</xdr:colOff>
      <xdr:row>130</xdr:row>
      <xdr:rowOff>156375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607732</xdr:colOff>
      <xdr:row>129</xdr:row>
      <xdr:rowOff>82355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588253</xdr:colOff>
      <xdr:row>131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𝐹𝑉=2,000,000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592149</xdr:colOff>
      <xdr:row>130</xdr:row>
      <xdr:rowOff>20024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7</xdr:col>
      <xdr:colOff>198681</xdr:colOff>
      <xdr:row>122</xdr:row>
      <xdr:rowOff>46748</xdr:rowOff>
    </xdr:from>
    <xdr:to>
      <xdr:col>8</xdr:col>
      <xdr:colOff>712914</xdr:colOff>
      <xdr:row>126</xdr:row>
      <xdr:rowOff>159724</xdr:rowOff>
    </xdr:to>
    <xdr:sp macro="" textlink="">
      <xdr:nvSpPr>
        <xdr:cNvPr id="159" name="Rounded Rectangular Callout 158">
          <a:extLst>
            <a:ext uri="{FF2B5EF4-FFF2-40B4-BE49-F238E27FC236}">
              <a16:creationId xmlns:a16="http://schemas.microsoft.com/office/drawing/2014/main" id="{AED3401A-DF24-3257-DD0F-3EA2C04424E8}"/>
            </a:ext>
          </a:extLst>
        </xdr:cNvPr>
        <xdr:cNvSpPr/>
      </xdr:nvSpPr>
      <xdr:spPr>
        <a:xfrm>
          <a:off x="13524054693" y="24761104"/>
          <a:ext cx="1340123" cy="923283"/>
        </a:xfrm>
        <a:prstGeom prst="wedgeRoundRectCallout">
          <a:avLst>
            <a:gd name="adj1" fmla="val 72190"/>
            <a:gd name="adj2" fmla="val 160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</a:t>
          </a:r>
          <a:r>
            <a:rPr lang="he-IL" sz="1100" baseline="0"/>
            <a:t> הנכס היום מבחינתי, בר רפאלי: 1,398,656 ש״ח</a:t>
          </a:r>
          <a:endParaRPr lang="en-US" sz="1100"/>
        </a:p>
      </xdr:txBody>
    </xdr:sp>
    <xdr:clientData/>
  </xdr:twoCellAnchor>
  <xdr:twoCellAnchor editAs="oneCell">
    <xdr:from>
      <xdr:col>5</xdr:col>
      <xdr:colOff>712915</xdr:colOff>
      <xdr:row>142</xdr:row>
      <xdr:rowOff>3895</xdr:rowOff>
    </xdr:from>
    <xdr:to>
      <xdr:col>7</xdr:col>
      <xdr:colOff>446860</xdr:colOff>
      <xdr:row>148</xdr:row>
      <xdr:rowOff>131669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E320D60B-2B9C-9E4D-B341-83E4E1E44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5146638" y="28793159"/>
          <a:ext cx="1385723" cy="1343234"/>
        </a:xfrm>
        <a:prstGeom prst="rect">
          <a:avLst/>
        </a:prstGeom>
      </xdr:spPr>
    </xdr:pic>
    <xdr:clientData/>
  </xdr:twoCellAnchor>
  <xdr:twoCellAnchor>
    <xdr:from>
      <xdr:col>5</xdr:col>
      <xdr:colOff>806411</xdr:colOff>
      <xdr:row>141</xdr:row>
      <xdr:rowOff>120613</xdr:rowOff>
    </xdr:from>
    <xdr:to>
      <xdr:col>7</xdr:col>
      <xdr:colOff>257117</xdr:colOff>
      <xdr:row>150</xdr:row>
      <xdr:rowOff>70123</xdr:rowOff>
    </xdr:to>
    <xdr:sp macro="" textlink="">
      <xdr:nvSpPr>
        <xdr:cNvPr id="161" name="Freeform 160">
          <a:extLst>
            <a:ext uri="{FF2B5EF4-FFF2-40B4-BE49-F238E27FC236}">
              <a16:creationId xmlns:a16="http://schemas.microsoft.com/office/drawing/2014/main" id="{9935A83F-A195-705D-288B-7A9E946810CF}"/>
            </a:ext>
          </a:extLst>
        </xdr:cNvPr>
        <xdr:cNvSpPr/>
      </xdr:nvSpPr>
      <xdr:spPr>
        <a:xfrm>
          <a:off x="13525336380" y="28707300"/>
          <a:ext cx="1102485" cy="1772700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553191</xdr:colOff>
      <xdr:row>144</xdr:row>
      <xdr:rowOff>23374</xdr:rowOff>
    </xdr:from>
    <xdr:to>
      <xdr:col>6</xdr:col>
      <xdr:colOff>775246</xdr:colOff>
      <xdr:row>145</xdr:row>
      <xdr:rowOff>85705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6FD2DEF0-7A47-62A9-64EB-3626E70CD0CE}"/>
            </a:ext>
          </a:extLst>
        </xdr:cNvPr>
        <xdr:cNvSpPr/>
      </xdr:nvSpPr>
      <xdr:spPr>
        <a:xfrm>
          <a:off x="13525644141" y="29217791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194786</xdr:colOff>
      <xdr:row>143</xdr:row>
      <xdr:rowOff>186994</xdr:rowOff>
    </xdr:from>
    <xdr:to>
      <xdr:col>6</xdr:col>
      <xdr:colOff>416841</xdr:colOff>
      <xdr:row>145</xdr:row>
      <xdr:rowOff>46748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E39894FA-E68A-BA97-33D2-CD91C3344579}"/>
            </a:ext>
          </a:extLst>
        </xdr:cNvPr>
        <xdr:cNvSpPr/>
      </xdr:nvSpPr>
      <xdr:spPr>
        <a:xfrm>
          <a:off x="13526002546" y="29178834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416841</xdr:colOff>
      <xdr:row>144</xdr:row>
      <xdr:rowOff>116871</xdr:rowOff>
    </xdr:from>
    <xdr:to>
      <xdr:col>6</xdr:col>
      <xdr:colOff>553191</xdr:colOff>
      <xdr:row>144</xdr:row>
      <xdr:rowOff>155828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7F1BAE0A-BBA1-D2AE-2AB2-936912EF54E3}"/>
            </a:ext>
          </a:extLst>
        </xdr:cNvPr>
        <xdr:cNvCxnSpPr>
          <a:stCxn id="162" idx="6"/>
          <a:endCxn id="163" idx="2"/>
        </xdr:cNvCxnSpPr>
      </xdr:nvCxnSpPr>
      <xdr:spPr>
        <a:xfrm flipV="1">
          <a:off x="13525866196" y="29311288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214264</xdr:colOff>
      <xdr:row>158</xdr:row>
      <xdr:rowOff>77914</xdr:rowOff>
    </xdr:from>
    <xdr:to>
      <xdr:col>7</xdr:col>
      <xdr:colOff>631104</xdr:colOff>
      <xdr:row>158</xdr:row>
      <xdr:rowOff>101289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13CB9AB-854F-248F-8D80-5AE6A9B8180C}"/>
            </a:ext>
          </a:extLst>
        </xdr:cNvPr>
        <xdr:cNvCxnSpPr/>
      </xdr:nvCxnSpPr>
      <xdr:spPr>
        <a:xfrm>
          <a:off x="13524962393" y="31095521"/>
          <a:ext cx="6198067" cy="23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358405</xdr:colOff>
      <xdr:row>141</xdr:row>
      <xdr:rowOff>101288</xdr:rowOff>
    </xdr:from>
    <xdr:to>
      <xdr:col>9</xdr:col>
      <xdr:colOff>120767</xdr:colOff>
      <xdr:row>143</xdr:row>
      <xdr:rowOff>183099</xdr:rowOff>
    </xdr:to>
    <xdr:sp macro="" textlink="">
      <xdr:nvSpPr>
        <xdr:cNvPr id="169" name="Cloud Callout 168">
          <a:extLst>
            <a:ext uri="{FF2B5EF4-FFF2-40B4-BE49-F238E27FC236}">
              <a16:creationId xmlns:a16="http://schemas.microsoft.com/office/drawing/2014/main" id="{95753AFD-201E-0C65-3AB3-5A6BB3F00D7A}"/>
            </a:ext>
          </a:extLst>
        </xdr:cNvPr>
        <xdr:cNvSpPr/>
      </xdr:nvSpPr>
      <xdr:spPr>
        <a:xfrm>
          <a:off x="13523820951" y="28687975"/>
          <a:ext cx="1414141" cy="486964"/>
        </a:xfrm>
        <a:prstGeom prst="cloudCallout">
          <a:avLst>
            <a:gd name="adj1" fmla="val 58129"/>
            <a:gd name="adj2" fmla="val 615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וואו שיגעון</a:t>
          </a:r>
          <a:endParaRPr lang="en-US" sz="1100"/>
        </a:p>
      </xdr:txBody>
    </xdr:sp>
    <xdr:clientData/>
  </xdr:twoCellAnchor>
  <xdr:twoCellAnchor>
    <xdr:from>
      <xdr:col>5</xdr:col>
      <xdr:colOff>416841</xdr:colOff>
      <xdr:row>158</xdr:row>
      <xdr:rowOff>29218</xdr:rowOff>
    </xdr:from>
    <xdr:to>
      <xdr:col>6</xdr:col>
      <xdr:colOff>438269</xdr:colOff>
      <xdr:row>159</xdr:row>
      <xdr:rowOff>42853</xdr:rowOff>
    </xdr:to>
    <xdr:sp macro="" textlink="">
      <xdr:nvSpPr>
        <xdr:cNvPr id="170" name="Left Brace 169">
          <a:extLst>
            <a:ext uri="{FF2B5EF4-FFF2-40B4-BE49-F238E27FC236}">
              <a16:creationId xmlns:a16="http://schemas.microsoft.com/office/drawing/2014/main" id="{9C1EE3A8-52FB-E2D2-AE53-4C7BDA435D4F}"/>
            </a:ext>
          </a:extLst>
        </xdr:cNvPr>
        <xdr:cNvSpPr/>
      </xdr:nvSpPr>
      <xdr:spPr>
        <a:xfrm rot="16200000">
          <a:off x="13526296671" y="30731272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397361</xdr:colOff>
      <xdr:row>158</xdr:row>
      <xdr:rowOff>40905</xdr:rowOff>
    </xdr:from>
    <xdr:to>
      <xdr:col>4</xdr:col>
      <xdr:colOff>418789</xdr:colOff>
      <xdr:row>159</xdr:row>
      <xdr:rowOff>54540</xdr:rowOff>
    </xdr:to>
    <xdr:sp macro="" textlink="">
      <xdr:nvSpPr>
        <xdr:cNvPr id="171" name="Left Brace 170">
          <a:extLst>
            <a:ext uri="{FF2B5EF4-FFF2-40B4-BE49-F238E27FC236}">
              <a16:creationId xmlns:a16="http://schemas.microsoft.com/office/drawing/2014/main" id="{29BE8548-7034-9927-80F1-272074E7346F}"/>
            </a:ext>
          </a:extLst>
        </xdr:cNvPr>
        <xdr:cNvSpPr/>
      </xdr:nvSpPr>
      <xdr:spPr>
        <a:xfrm rot="16200000">
          <a:off x="13527967930" y="30742959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412943</xdr:colOff>
      <xdr:row>158</xdr:row>
      <xdr:rowOff>64280</xdr:rowOff>
    </xdr:from>
    <xdr:to>
      <xdr:col>2</xdr:col>
      <xdr:colOff>434371</xdr:colOff>
      <xdr:row>159</xdr:row>
      <xdr:rowOff>77915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8A50CB53-14B0-2522-D74A-42F69D56F3A2}"/>
            </a:ext>
          </a:extLst>
        </xdr:cNvPr>
        <xdr:cNvSpPr/>
      </xdr:nvSpPr>
      <xdr:spPr>
        <a:xfrm rot="16200000">
          <a:off x="13529604127" y="30766334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226496</xdr:colOff>
      <xdr:row>159</xdr:row>
      <xdr:rowOff>98383</xdr:rowOff>
    </xdr:from>
    <xdr:ext cx="12139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343399</xdr:colOff>
      <xdr:row>160</xdr:row>
      <xdr:rowOff>114043</xdr:rowOff>
    </xdr:from>
    <xdr:ext cx="10731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=8∗2=16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=8∗2=16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436321</xdr:colOff>
      <xdr:row>161</xdr:row>
      <xdr:rowOff>191433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r>
                <a:rPr lang="he-IL" sz="1100" b="0" i="0">
                  <a:latin typeface="Cambria Math" panose="02040503050406030204" pitchFamily="18" charset="0"/>
                </a:rPr>
                <a:t>=5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412945</xdr:colOff>
      <xdr:row>159</xdr:row>
      <xdr:rowOff>72925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161783</xdr:colOff>
      <xdr:row>159</xdr:row>
      <xdr:rowOff>70667</xdr:rowOff>
    </xdr:from>
    <xdr:ext cx="11916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=12,000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203526</xdr:colOff>
      <xdr:row>160</xdr:row>
      <xdr:rowOff>111720</xdr:rowOff>
    </xdr:from>
    <xdr:ext cx="10599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=3∗4=12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=3∗4=12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162820</xdr:colOff>
      <xdr:row>160</xdr:row>
      <xdr:rowOff>117414</xdr:rowOff>
    </xdr:from>
    <xdr:ext cx="128379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=3∗12=36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=3∗12=36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377885</xdr:colOff>
      <xdr:row>161</xdr:row>
      <xdr:rowOff>171955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377885</xdr:colOff>
      <xdr:row>161</xdr:row>
      <xdr:rowOff>175851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682494</xdr:colOff>
      <xdr:row>155</xdr:row>
      <xdr:rowOff>186454</xdr:rowOff>
    </xdr:from>
    <xdr:to>
      <xdr:col>2</xdr:col>
      <xdr:colOff>163621</xdr:colOff>
      <xdr:row>157</xdr:row>
      <xdr:rowOff>46748</xdr:rowOff>
    </xdr:to>
    <xdr:sp macro="" textlink="">
      <xdr:nvSpPr>
        <xdr:cNvPr id="182" name="Rounded Rectangle 181">
          <a:extLst>
            <a:ext uri="{FF2B5EF4-FFF2-40B4-BE49-F238E27FC236}">
              <a16:creationId xmlns:a16="http://schemas.microsoft.com/office/drawing/2014/main" id="{6FDB75A2-67CC-A422-E503-E7FD0B81853D}"/>
            </a:ext>
          </a:extLst>
        </xdr:cNvPr>
        <xdr:cNvSpPr/>
      </xdr:nvSpPr>
      <xdr:spPr>
        <a:xfrm>
          <a:off x="13543348567" y="31630388"/>
          <a:ext cx="307859" cy="26838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3</xdr:col>
      <xdr:colOff>670062</xdr:colOff>
      <xdr:row>156</xdr:row>
      <xdr:rowOff>11687</xdr:rowOff>
    </xdr:from>
    <xdr:to>
      <xdr:col>4</xdr:col>
      <xdr:colOff>144142</xdr:colOff>
      <xdr:row>157</xdr:row>
      <xdr:rowOff>62331</xdr:rowOff>
    </xdr:to>
    <xdr:sp macro="" textlink="">
      <xdr:nvSpPr>
        <xdr:cNvPr id="183" name="Rounded Rectangle 182">
          <a:extLst>
            <a:ext uri="{FF2B5EF4-FFF2-40B4-BE49-F238E27FC236}">
              <a16:creationId xmlns:a16="http://schemas.microsoft.com/office/drawing/2014/main" id="{CDC123E8-9007-A520-9874-BF1877B41EDA}"/>
            </a:ext>
          </a:extLst>
        </xdr:cNvPr>
        <xdr:cNvSpPr/>
      </xdr:nvSpPr>
      <xdr:spPr>
        <a:xfrm>
          <a:off x="13527927024" y="30624141"/>
          <a:ext cx="299969" cy="25322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745816</xdr:colOff>
      <xdr:row>155</xdr:row>
      <xdr:rowOff>179418</xdr:rowOff>
    </xdr:from>
    <xdr:to>
      <xdr:col>6</xdr:col>
      <xdr:colOff>179203</xdr:colOff>
      <xdr:row>157</xdr:row>
      <xdr:rowOff>27269</xdr:rowOff>
    </xdr:to>
    <xdr:sp macro="" textlink="">
      <xdr:nvSpPr>
        <xdr:cNvPr id="185" name="Rounded Rectangle 184">
          <a:extLst>
            <a:ext uri="{FF2B5EF4-FFF2-40B4-BE49-F238E27FC236}">
              <a16:creationId xmlns:a16="http://schemas.microsoft.com/office/drawing/2014/main" id="{D833D467-5B86-F551-F04B-A3C4902EC655}"/>
            </a:ext>
          </a:extLst>
        </xdr:cNvPr>
        <xdr:cNvSpPr/>
      </xdr:nvSpPr>
      <xdr:spPr>
        <a:xfrm>
          <a:off x="13540026060" y="31623352"/>
          <a:ext cx="260118" cy="25593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817006</xdr:colOff>
      <xdr:row>163</xdr:row>
      <xdr:rowOff>28313</xdr:rowOff>
    </xdr:from>
    <xdr:to>
      <xdr:col>6</xdr:col>
      <xdr:colOff>137516</xdr:colOff>
      <xdr:row>164</xdr:row>
      <xdr:rowOff>93026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5BF5831B-3ED5-FF0C-506E-5949DCC6131A}"/>
            </a:ext>
          </a:extLst>
        </xdr:cNvPr>
        <xdr:cNvSpPr/>
      </xdr:nvSpPr>
      <xdr:spPr>
        <a:xfrm>
          <a:off x="13513277261" y="33015956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445154</xdr:colOff>
      <xdr:row>164</xdr:row>
      <xdr:rowOff>114560</xdr:rowOff>
    </xdr:from>
    <xdr:ext cx="3029145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=0.05∗100=5%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𝐼%=(1+10.25%)^(1/2)−1</a:t>
              </a:r>
              <a:r>
                <a:rPr lang="he-IL" sz="900" b="0" i="0">
                  <a:latin typeface="Cambria Math" panose="02040503050406030204" pitchFamily="18" charset="0"/>
                </a:rPr>
                <a:t>=0.05∗100=5%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744203</xdr:colOff>
      <xdr:row>163</xdr:row>
      <xdr:rowOff>24268</xdr:rowOff>
    </xdr:from>
    <xdr:to>
      <xdr:col>4</xdr:col>
      <xdr:colOff>64713</xdr:colOff>
      <xdr:row>164</xdr:row>
      <xdr:rowOff>88981</xdr:rowOff>
    </xdr:to>
    <xdr:sp macro="" textlink="">
      <xdr:nvSpPr>
        <xdr:cNvPr id="188" name="Down Arrow 187">
          <a:extLst>
            <a:ext uri="{FF2B5EF4-FFF2-40B4-BE49-F238E27FC236}">
              <a16:creationId xmlns:a16="http://schemas.microsoft.com/office/drawing/2014/main" id="{DAA6D16C-1039-6CC7-3690-65D48F0E7274}"/>
            </a:ext>
          </a:extLst>
        </xdr:cNvPr>
        <xdr:cNvSpPr/>
      </xdr:nvSpPr>
      <xdr:spPr>
        <a:xfrm>
          <a:off x="13515000255" y="33011911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679489</xdr:colOff>
      <xdr:row>164</xdr:row>
      <xdr:rowOff>106472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=0.030301∗100=3.0301%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</a:t>
              </a:r>
              <a:r>
                <a:rPr lang="he-IL" sz="900" b="0" i="0">
                  <a:latin typeface="Cambria Math" panose="02040503050406030204" pitchFamily="18" charset="0"/>
                </a:rPr>
                <a:t>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1/4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=0.030301∗100=3.0301%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497482</xdr:colOff>
      <xdr:row>162</xdr:row>
      <xdr:rowOff>76848</xdr:rowOff>
    </xdr:from>
    <xdr:to>
      <xdr:col>1</xdr:col>
      <xdr:colOff>643087</xdr:colOff>
      <xdr:row>163</xdr:row>
      <xdr:rowOff>141562</xdr:rowOff>
    </xdr:to>
    <xdr:sp macro="" textlink="">
      <xdr:nvSpPr>
        <xdr:cNvPr id="190" name="Down Arrow 189">
          <a:extLst>
            <a:ext uri="{FF2B5EF4-FFF2-40B4-BE49-F238E27FC236}">
              <a16:creationId xmlns:a16="http://schemas.microsoft.com/office/drawing/2014/main" id="{6259D52F-7488-96E2-B9BD-B15C79D93AD6}"/>
            </a:ext>
          </a:extLst>
        </xdr:cNvPr>
        <xdr:cNvSpPr/>
      </xdr:nvSpPr>
      <xdr:spPr>
        <a:xfrm rot="18911764">
          <a:off x="13516897167" y="32862262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163</xdr:row>
      <xdr:rowOff>45804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900" b="0" i="1">
                        <a:latin typeface="Cambria Math" panose="02040503050406030204" pitchFamily="18" charset="0"/>
                      </a:rPr>
                      <m:t>−1=0.01∗100=1%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(1+12.6825%)^(1/12)−1=0.01∗100=1%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664308</xdr:colOff>
      <xdr:row>174</xdr:row>
      <xdr:rowOff>132862</xdr:rowOff>
    </xdr:from>
    <xdr:to>
      <xdr:col>4</xdr:col>
      <xdr:colOff>46893</xdr:colOff>
      <xdr:row>176</xdr:row>
      <xdr:rowOff>39077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4AE86832-3B4A-3447-A01A-3EB85C552B9F}"/>
            </a:ext>
          </a:extLst>
        </xdr:cNvPr>
        <xdr:cNvCxnSpPr/>
      </xdr:nvCxnSpPr>
      <xdr:spPr>
        <a:xfrm flipH="1" flipV="1">
          <a:off x="13534978107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174</xdr:row>
      <xdr:rowOff>132862</xdr:rowOff>
    </xdr:from>
    <xdr:to>
      <xdr:col>3</xdr:col>
      <xdr:colOff>46893</xdr:colOff>
      <xdr:row>176</xdr:row>
      <xdr:rowOff>39077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536222CD-BA68-5B4C-9E7D-4DE7ADB0D6DD}"/>
            </a:ext>
          </a:extLst>
        </xdr:cNvPr>
        <xdr:cNvCxnSpPr/>
      </xdr:nvCxnSpPr>
      <xdr:spPr>
        <a:xfrm flipH="1" flipV="1">
          <a:off x="13535804421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175</xdr:row>
      <xdr:rowOff>87814</xdr:rowOff>
    </xdr:from>
    <xdr:to>
      <xdr:col>9</xdr:col>
      <xdr:colOff>561585</xdr:colOff>
      <xdr:row>182</xdr:row>
      <xdr:rowOff>11056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F25DC4F-9E14-9743-8690-04821514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2050775" y="35918938"/>
          <a:ext cx="1389225" cy="1354965"/>
        </a:xfrm>
        <a:prstGeom prst="rect">
          <a:avLst/>
        </a:prstGeom>
      </xdr:spPr>
    </xdr:pic>
    <xdr:clientData/>
  </xdr:twoCellAnchor>
  <xdr:twoCellAnchor>
    <xdr:from>
      <xdr:col>8</xdr:col>
      <xdr:colOff>93496</xdr:colOff>
      <xdr:row>175</xdr:row>
      <xdr:rowOff>0</xdr:rowOff>
    </xdr:from>
    <xdr:to>
      <xdr:col>9</xdr:col>
      <xdr:colOff>371843</xdr:colOff>
      <xdr:row>183</xdr:row>
      <xdr:rowOff>154042</xdr:rowOff>
    </xdr:to>
    <xdr:sp macro="" textlink="">
      <xdr:nvSpPr>
        <xdr:cNvPr id="195" name="Freeform 194">
          <a:extLst>
            <a:ext uri="{FF2B5EF4-FFF2-40B4-BE49-F238E27FC236}">
              <a16:creationId xmlns:a16="http://schemas.microsoft.com/office/drawing/2014/main" id="{FEAF3B2E-9579-104F-BCED-A6B19C516402}"/>
            </a:ext>
          </a:extLst>
        </xdr:cNvPr>
        <xdr:cNvSpPr/>
      </xdr:nvSpPr>
      <xdr:spPr>
        <a:xfrm>
          <a:off x="13552240517" y="35831124"/>
          <a:ext cx="1105987" cy="1790296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667917</xdr:colOff>
      <xdr:row>177</xdr:row>
      <xdr:rowOff>107293</xdr:rowOff>
    </xdr:from>
    <xdr:to>
      <xdr:col>9</xdr:col>
      <xdr:colOff>62332</xdr:colOff>
      <xdr:row>178</xdr:row>
      <xdr:rowOff>169624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A4159F2D-5053-1749-8DE3-10DACE17D65D}"/>
            </a:ext>
          </a:extLst>
        </xdr:cNvPr>
        <xdr:cNvSpPr/>
      </xdr:nvSpPr>
      <xdr:spPr>
        <a:xfrm>
          <a:off x="13552550028" y="36347480"/>
          <a:ext cx="222055" cy="266863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309512</xdr:colOff>
      <xdr:row>177</xdr:row>
      <xdr:rowOff>66382</xdr:rowOff>
    </xdr:from>
    <xdr:to>
      <xdr:col>8</xdr:col>
      <xdr:colOff>531567</xdr:colOff>
      <xdr:row>178</xdr:row>
      <xdr:rowOff>130667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C7569EB-EFE4-464C-918C-5B262143B8A3}"/>
            </a:ext>
          </a:extLst>
        </xdr:cNvPr>
        <xdr:cNvSpPr/>
      </xdr:nvSpPr>
      <xdr:spPr>
        <a:xfrm>
          <a:off x="13552908433" y="36306569"/>
          <a:ext cx="222055" cy="268817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531567</xdr:colOff>
      <xdr:row>177</xdr:row>
      <xdr:rowOff>200790</xdr:rowOff>
    </xdr:from>
    <xdr:to>
      <xdr:col>8</xdr:col>
      <xdr:colOff>667917</xdr:colOff>
      <xdr:row>178</xdr:row>
      <xdr:rowOff>35215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5940922-A7DC-B641-88EE-B66116F6B807}"/>
            </a:ext>
          </a:extLst>
        </xdr:cNvPr>
        <xdr:cNvCxnSpPr>
          <a:stCxn id="196" idx="6"/>
          <a:endCxn id="197" idx="2"/>
        </xdr:cNvCxnSpPr>
      </xdr:nvCxnSpPr>
      <xdr:spPr>
        <a:xfrm flipV="1">
          <a:off x="13552772083" y="36440977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646892</xdr:colOff>
      <xdr:row>176</xdr:row>
      <xdr:rowOff>128427</xdr:rowOff>
    </xdr:from>
    <xdr:to>
      <xdr:col>7</xdr:col>
      <xdr:colOff>780075</xdr:colOff>
      <xdr:row>183</xdr:row>
      <xdr:rowOff>28540</xdr:rowOff>
    </xdr:to>
    <xdr:sp macro="" textlink="">
      <xdr:nvSpPr>
        <xdr:cNvPr id="199" name="Cloud Callout 198">
          <a:extLst>
            <a:ext uri="{FF2B5EF4-FFF2-40B4-BE49-F238E27FC236}">
              <a16:creationId xmlns:a16="http://schemas.microsoft.com/office/drawing/2014/main" id="{2E1F3EC5-463F-AC8A-5C23-E69B7BF5923D}"/>
            </a:ext>
          </a:extLst>
        </xdr:cNvPr>
        <xdr:cNvSpPr/>
      </xdr:nvSpPr>
      <xdr:spPr>
        <a:xfrm>
          <a:off x="13553487566" y="36164082"/>
          <a:ext cx="1788464" cy="1331836"/>
        </a:xfrm>
        <a:prstGeom prst="cloudCallout">
          <a:avLst>
            <a:gd name="adj1" fmla="val -57535"/>
            <a:gd name="adj2" fmla="val -96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הסכום המירבי שאסכים</a:t>
          </a:r>
          <a:r>
            <a:rPr lang="he-IL" sz="1100" baseline="0"/>
            <a:t> לשלם בעד הנכס הוא 358,138 ש״ח.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157788</xdr:colOff>
      <xdr:row>23</xdr:row>
      <xdr:rowOff>46182</xdr:rowOff>
    </xdr:from>
    <xdr:to>
      <xdr:col>7</xdr:col>
      <xdr:colOff>781242</xdr:colOff>
      <xdr:row>23</xdr:row>
      <xdr:rowOff>61576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58900D-27F7-1F23-6851-4A400B436577}"/>
            </a:ext>
          </a:extLst>
        </xdr:cNvPr>
        <xdr:cNvCxnSpPr/>
      </xdr:nvCxnSpPr>
      <xdr:spPr>
        <a:xfrm>
          <a:off x="13549945576" y="4737485"/>
          <a:ext cx="5588000" cy="1539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342515</xdr:colOff>
      <xdr:row>20</xdr:row>
      <xdr:rowOff>177030</xdr:rowOff>
    </xdr:from>
    <xdr:to>
      <xdr:col>7</xdr:col>
      <xdr:colOff>469515</xdr:colOff>
      <xdr:row>21</xdr:row>
      <xdr:rowOff>196272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EFB5FFA9-407F-7AA8-DD09-71E99CFEEE91}"/>
            </a:ext>
          </a:extLst>
        </xdr:cNvPr>
        <xdr:cNvSpPr/>
      </xdr:nvSpPr>
      <xdr:spPr>
        <a:xfrm>
          <a:off x="13550257303" y="4256424"/>
          <a:ext cx="127000" cy="223212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381000</xdr:colOff>
      <xdr:row>22</xdr:row>
      <xdr:rowOff>198194</xdr:rowOff>
    </xdr:from>
    <xdr:to>
      <xdr:col>6</xdr:col>
      <xdr:colOff>417559</xdr:colOff>
      <xdr:row>24</xdr:row>
      <xdr:rowOff>46181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4D388C8F-212D-A2C6-7693-9123759A88DD}"/>
            </a:ext>
          </a:extLst>
        </xdr:cNvPr>
        <xdr:cNvSpPr/>
      </xdr:nvSpPr>
      <xdr:spPr>
        <a:xfrm rot="16200000">
          <a:off x="13552681848" y="3140363"/>
          <a:ext cx="255927" cy="33462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554182</xdr:colOff>
      <xdr:row>24</xdr:row>
      <xdr:rowOff>62345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𝑃𝑀𝑇=?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558031</xdr:colOff>
      <xdr:row>25</xdr:row>
      <xdr:rowOff>70043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550334</xdr:colOff>
      <xdr:row>26</xdr:row>
      <xdr:rowOff>54649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561880</xdr:colOff>
      <xdr:row>27</xdr:row>
      <xdr:rowOff>112376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419485</xdr:colOff>
      <xdr:row>23</xdr:row>
      <xdr:rowOff>115455</xdr:rowOff>
    </xdr:from>
    <xdr:to>
      <xdr:col>6</xdr:col>
      <xdr:colOff>438728</xdr:colOff>
      <xdr:row>27</xdr:row>
      <xdr:rowOff>88515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996C4E8-F8B6-BC84-A829-4D738327DFFA}"/>
            </a:ext>
          </a:extLst>
        </xdr:cNvPr>
        <xdr:cNvCxnSpPr/>
      </xdr:nvCxnSpPr>
      <xdr:spPr>
        <a:xfrm flipH="1">
          <a:off x="13551115515" y="4806758"/>
          <a:ext cx="19243" cy="78893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442576</xdr:colOff>
      <xdr:row>27</xdr:row>
      <xdr:rowOff>84666</xdr:rowOff>
    </xdr:from>
    <xdr:to>
      <xdr:col>7</xdr:col>
      <xdr:colOff>434879</xdr:colOff>
      <xdr:row>27</xdr:row>
      <xdr:rowOff>92363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AB31EA7-1A48-ED63-1C99-42568AB88513}"/>
            </a:ext>
          </a:extLst>
        </xdr:cNvPr>
        <xdr:cNvCxnSpPr/>
      </xdr:nvCxnSpPr>
      <xdr:spPr>
        <a:xfrm flipH="1">
          <a:off x="13550291939" y="5591848"/>
          <a:ext cx="819728" cy="76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415636</xdr:colOff>
      <xdr:row>25</xdr:row>
      <xdr:rowOff>192425</xdr:rowOff>
    </xdr:from>
    <xdr:to>
      <xdr:col>7</xdr:col>
      <xdr:colOff>423333</xdr:colOff>
      <xdr:row>27</xdr:row>
      <xdr:rowOff>88515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257E1B8-719B-47A1-C8F9-1F30FA28670F}"/>
            </a:ext>
          </a:extLst>
        </xdr:cNvPr>
        <xdr:cNvCxnSpPr/>
      </xdr:nvCxnSpPr>
      <xdr:spPr>
        <a:xfrm flipV="1">
          <a:off x="13550303485" y="5291667"/>
          <a:ext cx="7697" cy="30403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511848</xdr:colOff>
      <xdr:row>78</xdr:row>
      <xdr:rowOff>96212</xdr:rowOff>
    </xdr:from>
    <xdr:to>
      <xdr:col>4</xdr:col>
      <xdr:colOff>7697</xdr:colOff>
      <xdr:row>78</xdr:row>
      <xdr:rowOff>96212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70EC6DAF-8B89-BDB3-C589-7ED8BBCBC2A1}"/>
            </a:ext>
          </a:extLst>
        </xdr:cNvPr>
        <xdr:cNvCxnSpPr/>
      </xdr:nvCxnSpPr>
      <xdr:spPr>
        <a:xfrm>
          <a:off x="13553201394" y="16028939"/>
          <a:ext cx="323273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515697</xdr:colOff>
      <xdr:row>78</xdr:row>
      <xdr:rowOff>96212</xdr:rowOff>
    </xdr:from>
    <xdr:to>
      <xdr:col>3</xdr:col>
      <xdr:colOff>531091</xdr:colOff>
      <xdr:row>84</xdr:row>
      <xdr:rowOff>15394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F673DCA-55B8-E25E-3ACA-348003204C58}"/>
            </a:ext>
          </a:extLst>
        </xdr:cNvPr>
        <xdr:cNvCxnSpPr/>
      </xdr:nvCxnSpPr>
      <xdr:spPr>
        <a:xfrm>
          <a:off x="13553505424" y="16028939"/>
          <a:ext cx="15394" cy="114300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769698</xdr:colOff>
      <xdr:row>91</xdr:row>
      <xdr:rowOff>89285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𝑟_𝑚𝑜𝑛𝑡ℎ=(1+𝑟_𝑎𝑛𝑛𝑢𝑎𝑙 )^(1/12)−1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769697</xdr:colOff>
      <xdr:row>92</xdr:row>
      <xdr:rowOff>161636</xdr:rowOff>
    </xdr:from>
    <xdr:to>
      <xdr:col>5</xdr:col>
      <xdr:colOff>773546</xdr:colOff>
      <xdr:row>94</xdr:row>
      <xdr:rowOff>3849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347A8AD-055A-AF7F-813C-B1D0C7F9A553}"/>
            </a:ext>
          </a:extLst>
        </xdr:cNvPr>
        <xdr:cNvCxnSpPr/>
      </xdr:nvCxnSpPr>
      <xdr:spPr>
        <a:xfrm flipH="1">
          <a:off x="13551608121" y="18949939"/>
          <a:ext cx="3849" cy="250152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558030</xdr:colOff>
      <xdr:row>92</xdr:row>
      <xdr:rowOff>196272</xdr:rowOff>
    </xdr:from>
    <xdr:to>
      <xdr:col>4</xdr:col>
      <xdr:colOff>565727</xdr:colOff>
      <xdr:row>96</xdr:row>
      <xdr:rowOff>134697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B7066FED-AD8F-FC5F-9EC0-33A2876179C6}"/>
            </a:ext>
          </a:extLst>
        </xdr:cNvPr>
        <xdr:cNvCxnSpPr/>
      </xdr:nvCxnSpPr>
      <xdr:spPr>
        <a:xfrm flipH="1">
          <a:off x="13552643364" y="18984575"/>
          <a:ext cx="7697" cy="754304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42333</xdr:colOff>
      <xdr:row>92</xdr:row>
      <xdr:rowOff>111606</xdr:rowOff>
    </xdr:from>
    <xdr:to>
      <xdr:col>4</xdr:col>
      <xdr:colOff>315576</xdr:colOff>
      <xdr:row>95</xdr:row>
      <xdr:rowOff>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4C84CD2F-9048-0A04-C712-709BF09E7D2F}"/>
            </a:ext>
          </a:extLst>
        </xdr:cNvPr>
        <xdr:cNvCxnSpPr/>
      </xdr:nvCxnSpPr>
      <xdr:spPr>
        <a:xfrm>
          <a:off x="13552893515" y="18899909"/>
          <a:ext cx="1100667" cy="500303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111607</xdr:colOff>
      <xdr:row>101</xdr:row>
      <xdr:rowOff>139315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511848</xdr:colOff>
      <xdr:row>110</xdr:row>
      <xdr:rowOff>96212</xdr:rowOff>
    </xdr:from>
    <xdr:to>
      <xdr:col>4</xdr:col>
      <xdr:colOff>7697</xdr:colOff>
      <xdr:row>110</xdr:row>
      <xdr:rowOff>96212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8E45170-10FF-464A-86DD-170CC948F255}"/>
            </a:ext>
          </a:extLst>
        </xdr:cNvPr>
        <xdr:cNvCxnSpPr/>
      </xdr:nvCxnSpPr>
      <xdr:spPr>
        <a:xfrm>
          <a:off x="13531780653" y="15837636"/>
          <a:ext cx="32196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513754</xdr:colOff>
      <xdr:row>110</xdr:row>
      <xdr:rowOff>92102</xdr:rowOff>
    </xdr:from>
    <xdr:to>
      <xdr:col>3</xdr:col>
      <xdr:colOff>521451</xdr:colOff>
      <xdr:row>115</xdr:row>
      <xdr:rowOff>176731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82355C29-01F7-73BB-D96F-A23BFD1FB624}"/>
            </a:ext>
          </a:extLst>
        </xdr:cNvPr>
        <xdr:cNvCxnSpPr/>
      </xdr:nvCxnSpPr>
      <xdr:spPr>
        <a:xfrm>
          <a:off x="13532093015" y="22278057"/>
          <a:ext cx="7697" cy="109158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90422</xdr:colOff>
      <xdr:row>123</xdr:row>
      <xdr:rowOff>102751</xdr:rowOff>
    </xdr:from>
    <xdr:to>
      <xdr:col>2</xdr:col>
      <xdr:colOff>760015</xdr:colOff>
      <xdr:row>138</xdr:row>
      <xdr:rowOff>91151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E1AFB9-C479-7C54-7A0D-2C5003DBE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2680568" y="24906796"/>
          <a:ext cx="2321826" cy="30327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4</xdr:col>
      <xdr:colOff>756246</xdr:colOff>
      <xdr:row>130</xdr:row>
      <xdr:rowOff>120459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9F53FA1-F894-C05E-0FAC-76C1696F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31032104" y="25609612"/>
          <a:ext cx="1582362" cy="724633"/>
        </a:xfrm>
        <a:prstGeom prst="rect">
          <a:avLst/>
        </a:prstGeom>
      </xdr:spPr>
    </xdr:pic>
    <xdr:clientData/>
  </xdr:twoCellAnchor>
  <xdr:twoCellAnchor editAs="oneCell">
    <xdr:from>
      <xdr:col>8</xdr:col>
      <xdr:colOff>181608</xdr:colOff>
      <xdr:row>122</xdr:row>
      <xdr:rowOff>176388</xdr:rowOff>
    </xdr:from>
    <xdr:to>
      <xdr:col>11</xdr:col>
      <xdr:colOff>277832</xdr:colOff>
      <xdr:row>138</xdr:row>
      <xdr:rowOff>188931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374F6B-9E7D-3624-FFE7-5129850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1304915" y="25066820"/>
          <a:ext cx="2577428" cy="3297296"/>
        </a:xfrm>
        <a:prstGeom prst="rect">
          <a:avLst/>
        </a:prstGeom>
      </xdr:spPr>
    </xdr:pic>
    <xdr:clientData/>
  </xdr:twoCellAnchor>
  <xdr:twoCellAnchor>
    <xdr:from>
      <xdr:col>4</xdr:col>
      <xdr:colOff>70201</xdr:colOff>
      <xdr:row>169</xdr:row>
      <xdr:rowOff>140402</xdr:rowOff>
    </xdr:from>
    <xdr:to>
      <xdr:col>4</xdr:col>
      <xdr:colOff>70201</xdr:colOff>
      <xdr:row>174</xdr:row>
      <xdr:rowOff>181885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5172235-68F2-4E42-C252-3C045708A6AF}"/>
            </a:ext>
          </a:extLst>
        </xdr:cNvPr>
        <xdr:cNvCxnSpPr/>
      </xdr:nvCxnSpPr>
      <xdr:spPr>
        <a:xfrm>
          <a:off x="13537300151" y="34730352"/>
          <a:ext cx="0" cy="10625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299950</xdr:colOff>
      <xdr:row>183</xdr:row>
      <xdr:rowOff>188267</xdr:rowOff>
    </xdr:from>
    <xdr:to>
      <xdr:col>5</xdr:col>
      <xdr:colOff>299950</xdr:colOff>
      <xdr:row>185</xdr:row>
      <xdr:rowOff>153166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0962DC8B-4D7D-3EF7-191E-13705EDFFD96}"/>
            </a:ext>
          </a:extLst>
        </xdr:cNvPr>
        <xdr:cNvCxnSpPr/>
      </xdr:nvCxnSpPr>
      <xdr:spPr>
        <a:xfrm>
          <a:off x="13536243945" y="37650076"/>
          <a:ext cx="0" cy="38610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644573</xdr:colOff>
      <xdr:row>183</xdr:row>
      <xdr:rowOff>207412</xdr:rowOff>
    </xdr:from>
    <xdr:to>
      <xdr:col>4</xdr:col>
      <xdr:colOff>654146</xdr:colOff>
      <xdr:row>188</xdr:row>
      <xdr:rowOff>57438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01B25D6A-2934-3DB5-C17C-F7A4F6E1DC1E}"/>
            </a:ext>
          </a:extLst>
        </xdr:cNvPr>
        <xdr:cNvCxnSpPr/>
      </xdr:nvCxnSpPr>
      <xdr:spPr>
        <a:xfrm flipH="1">
          <a:off x="13536716206" y="37669221"/>
          <a:ext cx="9573" cy="88389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51767</xdr:colOff>
      <xdr:row>205</xdr:row>
      <xdr:rowOff>51766</xdr:rowOff>
    </xdr:from>
    <xdr:to>
      <xdr:col>4</xdr:col>
      <xdr:colOff>65571</xdr:colOff>
      <xdr:row>210</xdr:row>
      <xdr:rowOff>41414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BC8A08C-3319-672A-531F-F7F53A7ADD5F}"/>
            </a:ext>
          </a:extLst>
        </xdr:cNvPr>
        <xdr:cNvCxnSpPr/>
      </xdr:nvCxnSpPr>
      <xdr:spPr>
        <a:xfrm flipH="1">
          <a:off x="13510318668" y="41903098"/>
          <a:ext cx="13804" cy="10077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352011</xdr:colOff>
      <xdr:row>213</xdr:row>
      <xdr:rowOff>31060</xdr:rowOff>
    </xdr:from>
    <xdr:to>
      <xdr:col>4</xdr:col>
      <xdr:colOff>355462</xdr:colOff>
      <xdr:row>214</xdr:row>
      <xdr:rowOff>148396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3181A95-95DB-5086-D15D-C49EFEC2686D}"/>
            </a:ext>
          </a:extLst>
        </xdr:cNvPr>
        <xdr:cNvCxnSpPr/>
      </xdr:nvCxnSpPr>
      <xdr:spPr>
        <a:xfrm flipH="1">
          <a:off x="13510028777" y="43511305"/>
          <a:ext cx="3451" cy="3209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103533</xdr:colOff>
      <xdr:row>213</xdr:row>
      <xdr:rowOff>0</xdr:rowOff>
    </xdr:from>
    <xdr:to>
      <xdr:col>3</xdr:col>
      <xdr:colOff>686766</xdr:colOff>
      <xdr:row>214</xdr:row>
      <xdr:rowOff>155299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78872D4-4491-EA66-71EE-862BF4976F7C}"/>
            </a:ext>
          </a:extLst>
        </xdr:cNvPr>
        <xdr:cNvCxnSpPr/>
      </xdr:nvCxnSpPr>
      <xdr:spPr>
        <a:xfrm>
          <a:off x="13510522283" y="43480245"/>
          <a:ext cx="583233" cy="3589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</xdr:rowOff>
    </xdr:from>
    <xdr:to>
      <xdr:col>7</xdr:col>
      <xdr:colOff>612966</xdr:colOff>
      <xdr:row>11</xdr:row>
      <xdr:rowOff>193954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C9E567-DA68-46FC-BAD3-2DDF5877E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5319968" y="817288"/>
          <a:ext cx="6390064" cy="1215562"/>
        </a:xfrm>
        <a:prstGeom prst="rect">
          <a:avLst/>
        </a:prstGeom>
      </xdr:spPr>
    </xdr:pic>
    <xdr:clientData/>
  </xdr:twoCellAnchor>
  <xdr:twoCellAnchor>
    <xdr:from>
      <xdr:col>4</xdr:col>
      <xdr:colOff>677066</xdr:colOff>
      <xdr:row>20</xdr:row>
      <xdr:rowOff>136215</xdr:rowOff>
    </xdr:from>
    <xdr:to>
      <xdr:col>5</xdr:col>
      <xdr:colOff>116184</xdr:colOff>
      <xdr:row>22</xdr:row>
      <xdr:rowOff>100157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E3EFC76-50CE-866B-755A-AD3463D2D5F8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677066</xdr:colOff>
      <xdr:row>20</xdr:row>
      <xdr:rowOff>136215</xdr:rowOff>
    </xdr:from>
    <xdr:to>
      <xdr:col>4</xdr:col>
      <xdr:colOff>116184</xdr:colOff>
      <xdr:row>22</xdr:row>
      <xdr:rowOff>100157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9360D88-F21E-2447-A5F2-6836F6BD2AAD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677066</xdr:colOff>
      <xdr:row>20</xdr:row>
      <xdr:rowOff>136215</xdr:rowOff>
    </xdr:from>
    <xdr:to>
      <xdr:col>3</xdr:col>
      <xdr:colOff>116184</xdr:colOff>
      <xdr:row>22</xdr:row>
      <xdr:rowOff>100157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6E029FD7-9311-6240-8EC5-3AC0614669C6}"/>
            </a:ext>
          </a:extLst>
        </xdr:cNvPr>
        <xdr:cNvCxnSpPr/>
      </xdr:nvCxnSpPr>
      <xdr:spPr>
        <a:xfrm flipV="1">
          <a:off x="13518292649" y="3609685"/>
          <a:ext cx="264418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793250</xdr:colOff>
      <xdr:row>16</xdr:row>
      <xdr:rowOff>104164</xdr:rowOff>
    </xdr:from>
    <xdr:to>
      <xdr:col>5</xdr:col>
      <xdr:colOff>777225</xdr:colOff>
      <xdr:row>17</xdr:row>
      <xdr:rowOff>112176</xdr:rowOff>
    </xdr:to>
    <xdr:sp macro="" textlink="">
      <xdr:nvSpPr>
        <xdr:cNvPr id="7" name="Left Brace 6">
          <a:extLst>
            <a:ext uri="{FF2B5EF4-FFF2-40B4-BE49-F238E27FC236}">
              <a16:creationId xmlns:a16="http://schemas.microsoft.com/office/drawing/2014/main" id="{AD446B7E-3C76-9ABA-1A42-48E7702D3D8A}"/>
            </a:ext>
          </a:extLst>
        </xdr:cNvPr>
        <xdr:cNvSpPr/>
      </xdr:nvSpPr>
      <xdr:spPr>
        <a:xfrm rot="5400000">
          <a:off x="13517930079" y="1636577"/>
          <a:ext cx="212334" cy="24598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280442</xdr:colOff>
      <xdr:row>16</xdr:row>
      <xdr:rowOff>112176</xdr:rowOff>
    </xdr:from>
    <xdr:to>
      <xdr:col>2</xdr:col>
      <xdr:colOff>380601</xdr:colOff>
      <xdr:row>17</xdr:row>
      <xdr:rowOff>60094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09BA7A1-03F8-880B-C281-6992060CA945}"/>
            </a:ext>
          </a:extLst>
        </xdr:cNvPr>
        <xdr:cNvCxnSpPr/>
      </xdr:nvCxnSpPr>
      <xdr:spPr>
        <a:xfrm flipV="1">
          <a:off x="13519678832" y="2972681"/>
          <a:ext cx="100159" cy="15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624984</xdr:colOff>
      <xdr:row>38</xdr:row>
      <xdr:rowOff>136215</xdr:rowOff>
    </xdr:from>
    <xdr:to>
      <xdr:col>5</xdr:col>
      <xdr:colOff>64102</xdr:colOff>
      <xdr:row>40</xdr:row>
      <xdr:rowOff>100157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8809D458-BF5B-9345-A256-488FC12C9C21}"/>
            </a:ext>
          </a:extLst>
        </xdr:cNvPr>
        <xdr:cNvCxnSpPr/>
      </xdr:nvCxnSpPr>
      <xdr:spPr>
        <a:xfrm flipV="1">
          <a:off x="13517519432" y="751583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392619</xdr:colOff>
      <xdr:row>41</xdr:row>
      <xdr:rowOff>4006</xdr:rowOff>
    </xdr:from>
    <xdr:to>
      <xdr:col>4</xdr:col>
      <xdr:colOff>400632</xdr:colOff>
      <xdr:row>43</xdr:row>
      <xdr:rowOff>20032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40199D6C-4BF5-7D27-51A7-062D8A4B9B93}"/>
            </a:ext>
          </a:extLst>
        </xdr:cNvPr>
        <xdr:cNvCxnSpPr/>
      </xdr:nvCxnSpPr>
      <xdr:spPr>
        <a:xfrm>
          <a:off x="13518008201" y="7996593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38</xdr:row>
      <xdr:rowOff>168265</xdr:rowOff>
    </xdr:from>
    <xdr:to>
      <xdr:col>4</xdr:col>
      <xdr:colOff>136215</xdr:colOff>
      <xdr:row>40</xdr:row>
      <xdr:rowOff>132207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5725FDA-D252-2B99-C0B3-8A1961AB9C10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38</xdr:row>
      <xdr:rowOff>168265</xdr:rowOff>
    </xdr:from>
    <xdr:to>
      <xdr:col>3</xdr:col>
      <xdr:colOff>136215</xdr:colOff>
      <xdr:row>40</xdr:row>
      <xdr:rowOff>132207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FA71219-145E-954A-B983-D4CFD47BC80D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697098</xdr:colOff>
      <xdr:row>38</xdr:row>
      <xdr:rowOff>168265</xdr:rowOff>
    </xdr:from>
    <xdr:to>
      <xdr:col>2</xdr:col>
      <xdr:colOff>136215</xdr:colOff>
      <xdr:row>40</xdr:row>
      <xdr:rowOff>132207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7C25EF5-285A-1746-A302-AC4A7474FDA2}"/>
            </a:ext>
          </a:extLst>
        </xdr:cNvPr>
        <xdr:cNvCxnSpPr/>
      </xdr:nvCxnSpPr>
      <xdr:spPr>
        <a:xfrm flipV="1">
          <a:off x="135190979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396625</xdr:colOff>
      <xdr:row>41</xdr:row>
      <xdr:rowOff>28044</xdr:rowOff>
    </xdr:from>
    <xdr:to>
      <xdr:col>1</xdr:col>
      <xdr:colOff>404638</xdr:colOff>
      <xdr:row>43</xdr:row>
      <xdr:rowOff>44070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29D0872-CBBB-0473-368D-9E18C747E462}"/>
            </a:ext>
          </a:extLst>
        </xdr:cNvPr>
        <xdr:cNvCxnSpPr/>
      </xdr:nvCxnSpPr>
      <xdr:spPr>
        <a:xfrm>
          <a:off x="13520480094" y="8020631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256404</xdr:colOff>
      <xdr:row>24</xdr:row>
      <xdr:rowOff>200316</xdr:rowOff>
    </xdr:from>
    <xdr:to>
      <xdr:col>7</xdr:col>
      <xdr:colOff>339481</xdr:colOff>
      <xdr:row>32</xdr:row>
      <xdr:rowOff>104164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F502A81-819D-CE97-ADC4-113F87AD1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5593453" y="4719433"/>
          <a:ext cx="5860175" cy="1538422"/>
        </a:xfrm>
        <a:prstGeom prst="rect">
          <a:avLst/>
        </a:prstGeom>
      </xdr:spPr>
    </xdr:pic>
    <xdr:clientData/>
  </xdr:twoCellAnchor>
  <xdr:twoCellAnchor editAs="oneCell">
    <xdr:from>
      <xdr:col>0</xdr:col>
      <xdr:colOff>68108</xdr:colOff>
      <xdr:row>49</xdr:row>
      <xdr:rowOff>192302</xdr:rowOff>
    </xdr:from>
    <xdr:to>
      <xdr:col>7</xdr:col>
      <xdr:colOff>669054</xdr:colOff>
      <xdr:row>54</xdr:row>
      <xdr:rowOff>85008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1459F4-66EB-9FFE-5ABF-2F8476F13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263880" y="9819463"/>
          <a:ext cx="6378044" cy="914315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61</xdr:row>
      <xdr:rowOff>168265</xdr:rowOff>
    </xdr:from>
    <xdr:to>
      <xdr:col>5</xdr:col>
      <xdr:colOff>136215</xdr:colOff>
      <xdr:row>63</xdr:row>
      <xdr:rowOff>132207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4327A2D-E36A-1245-A172-833E7A23D01A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517021</xdr:colOff>
      <xdr:row>61</xdr:row>
      <xdr:rowOff>104099</xdr:rowOff>
    </xdr:from>
    <xdr:to>
      <xdr:col>4</xdr:col>
      <xdr:colOff>70286</xdr:colOff>
      <xdr:row>61</xdr:row>
      <xdr:rowOff>104448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C7009B-5B81-39F6-EB30-864638AF39AD}"/>
            </a:ext>
          </a:extLst>
        </xdr:cNvPr>
        <xdr:cNvCxnSpPr/>
      </xdr:nvCxnSpPr>
      <xdr:spPr>
        <a:xfrm flipV="1">
          <a:off x="13527303484" y="12203798"/>
          <a:ext cx="379112" cy="3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72</xdr:row>
      <xdr:rowOff>163088</xdr:rowOff>
    </xdr:from>
    <xdr:to>
      <xdr:col>7</xdr:col>
      <xdr:colOff>385163</xdr:colOff>
      <xdr:row>79</xdr:row>
      <xdr:rowOff>60889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DC210E-EA64-D2D8-28B5-B9FCB4F70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511066" y="14535602"/>
          <a:ext cx="6166092" cy="1330888"/>
        </a:xfrm>
        <a:prstGeom prst="rect">
          <a:avLst/>
        </a:prstGeom>
      </xdr:spPr>
    </xdr:pic>
    <xdr:clientData/>
  </xdr:twoCellAnchor>
  <xdr:twoCellAnchor>
    <xdr:from>
      <xdr:col>0</xdr:col>
      <xdr:colOff>79808</xdr:colOff>
      <xdr:row>84</xdr:row>
      <xdr:rowOff>104098</xdr:rowOff>
    </xdr:from>
    <xdr:to>
      <xdr:col>7</xdr:col>
      <xdr:colOff>805027</xdr:colOff>
      <xdr:row>84</xdr:row>
      <xdr:rowOff>117978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BD6A8E2C-091E-5F70-D271-E2E46239A55B}"/>
            </a:ext>
          </a:extLst>
        </xdr:cNvPr>
        <xdr:cNvCxnSpPr/>
      </xdr:nvCxnSpPr>
      <xdr:spPr>
        <a:xfrm>
          <a:off x="13524091202" y="16319153"/>
          <a:ext cx="6506148" cy="13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414658</xdr:colOff>
      <xdr:row>82</xdr:row>
      <xdr:rowOff>15617</xdr:rowOff>
    </xdr:from>
    <xdr:to>
      <xdr:col>5</xdr:col>
      <xdr:colOff>435478</xdr:colOff>
      <xdr:row>83</xdr:row>
      <xdr:rowOff>36436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FE5C6A91-1713-003E-6650-AD2871AC8239}"/>
            </a:ext>
          </a:extLst>
        </xdr:cNvPr>
        <xdr:cNvSpPr/>
      </xdr:nvSpPr>
      <xdr:spPr>
        <a:xfrm rot="5400000">
          <a:off x="13526423006" y="16124837"/>
          <a:ext cx="225546" cy="84666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423333</xdr:colOff>
      <xdr:row>82</xdr:row>
      <xdr:rowOff>15618</xdr:rowOff>
    </xdr:from>
    <xdr:to>
      <xdr:col>4</xdr:col>
      <xdr:colOff>359138</xdr:colOff>
      <xdr:row>83</xdr:row>
      <xdr:rowOff>31233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5CF13CE5-FB84-68AD-9848-11CC95887226}"/>
            </a:ext>
          </a:extLst>
        </xdr:cNvPr>
        <xdr:cNvSpPr/>
      </xdr:nvSpPr>
      <xdr:spPr>
        <a:xfrm rot="5400000">
          <a:off x="13527285287" y="16164744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440682</xdr:colOff>
      <xdr:row>82</xdr:row>
      <xdr:rowOff>26027</xdr:rowOff>
    </xdr:from>
    <xdr:to>
      <xdr:col>3</xdr:col>
      <xdr:colOff>376487</xdr:colOff>
      <xdr:row>83</xdr:row>
      <xdr:rowOff>41642</xdr:rowOff>
    </xdr:to>
    <xdr:sp macro="" textlink="">
      <xdr:nvSpPr>
        <xdr:cNvPr id="30" name="Left Brace 29">
          <a:extLst>
            <a:ext uri="{FF2B5EF4-FFF2-40B4-BE49-F238E27FC236}">
              <a16:creationId xmlns:a16="http://schemas.microsoft.com/office/drawing/2014/main" id="{B5B4EA58-2124-0BF3-3BC9-946884106E7A}"/>
            </a:ext>
          </a:extLst>
        </xdr:cNvPr>
        <xdr:cNvSpPr/>
      </xdr:nvSpPr>
      <xdr:spPr>
        <a:xfrm rot="5400000">
          <a:off x="13528093785" y="16175153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399044</xdr:colOff>
      <xdr:row>82</xdr:row>
      <xdr:rowOff>57257</xdr:rowOff>
    </xdr:from>
    <xdr:to>
      <xdr:col>2</xdr:col>
      <xdr:colOff>303619</xdr:colOff>
      <xdr:row>83</xdr:row>
      <xdr:rowOff>38170</xdr:rowOff>
    </xdr:to>
    <xdr:sp macro="" textlink="">
      <xdr:nvSpPr>
        <xdr:cNvPr id="31" name="Left Brace 30">
          <a:extLst>
            <a:ext uri="{FF2B5EF4-FFF2-40B4-BE49-F238E27FC236}">
              <a16:creationId xmlns:a16="http://schemas.microsoft.com/office/drawing/2014/main" id="{3343626A-325A-4922-7C00-8B7341BD9C7C}"/>
            </a:ext>
          </a:extLst>
        </xdr:cNvPr>
        <xdr:cNvSpPr/>
      </xdr:nvSpPr>
      <xdr:spPr>
        <a:xfrm rot="5400000">
          <a:off x="13529407160" y="15791723"/>
          <a:ext cx="185640" cy="155626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697098</xdr:colOff>
      <xdr:row>93</xdr:row>
      <xdr:rowOff>168265</xdr:rowOff>
    </xdr:from>
    <xdr:to>
      <xdr:col>5</xdr:col>
      <xdr:colOff>136215</xdr:colOff>
      <xdr:row>95</xdr:row>
      <xdr:rowOff>132207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D0D5008-4522-E144-9410-8D9AB4934E3A}"/>
            </a:ext>
          </a:extLst>
        </xdr:cNvPr>
        <xdr:cNvCxnSpPr/>
      </xdr:nvCxnSpPr>
      <xdr:spPr>
        <a:xfrm flipV="1">
          <a:off x="13550181216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93</xdr:row>
      <xdr:rowOff>168265</xdr:rowOff>
    </xdr:from>
    <xdr:to>
      <xdr:col>4</xdr:col>
      <xdr:colOff>136215</xdr:colOff>
      <xdr:row>95</xdr:row>
      <xdr:rowOff>132207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39A7FD-F6A4-C14A-A20C-0B6CDBF6D02D}"/>
            </a:ext>
          </a:extLst>
        </xdr:cNvPr>
        <xdr:cNvCxnSpPr/>
      </xdr:nvCxnSpPr>
      <xdr:spPr>
        <a:xfrm flipV="1">
          <a:off x="13551008464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93</xdr:row>
      <xdr:rowOff>168265</xdr:rowOff>
    </xdr:from>
    <xdr:to>
      <xdr:col>3</xdr:col>
      <xdr:colOff>136215</xdr:colOff>
      <xdr:row>95</xdr:row>
      <xdr:rowOff>132207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C13466CF-C63B-B34A-97B3-2293916FFF20}"/>
            </a:ext>
          </a:extLst>
        </xdr:cNvPr>
        <xdr:cNvCxnSpPr/>
      </xdr:nvCxnSpPr>
      <xdr:spPr>
        <a:xfrm flipV="1">
          <a:off x="13551835712" y="7469794"/>
          <a:ext cx="266364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520428</xdr:colOff>
      <xdr:row>82</xdr:row>
      <xdr:rowOff>35038</xdr:rowOff>
    </xdr:from>
    <xdr:to>
      <xdr:col>7</xdr:col>
      <xdr:colOff>318965</xdr:colOff>
      <xdr:row>83</xdr:row>
      <xdr:rowOff>38840</xdr:rowOff>
    </xdr:to>
    <xdr:sp macro="" textlink="">
      <xdr:nvSpPr>
        <xdr:cNvPr id="36" name="Left Brace 35">
          <a:extLst>
            <a:ext uri="{FF2B5EF4-FFF2-40B4-BE49-F238E27FC236}">
              <a16:creationId xmlns:a16="http://schemas.microsoft.com/office/drawing/2014/main" id="{B8DB4092-12A4-D0C7-C9AE-BCF8449B6C44}"/>
            </a:ext>
          </a:extLst>
        </xdr:cNvPr>
        <xdr:cNvSpPr/>
      </xdr:nvSpPr>
      <xdr:spPr>
        <a:xfrm rot="5400000">
          <a:off x="13548140359" y="15630118"/>
          <a:ext cx="205759" cy="145303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697098</xdr:colOff>
      <xdr:row>93</xdr:row>
      <xdr:rowOff>168265</xdr:rowOff>
    </xdr:from>
    <xdr:to>
      <xdr:col>2</xdr:col>
      <xdr:colOff>136215</xdr:colOff>
      <xdr:row>95</xdr:row>
      <xdr:rowOff>132207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DE16D258-F7A5-2D4D-AEF4-EC9A773711AC}"/>
            </a:ext>
          </a:extLst>
        </xdr:cNvPr>
        <xdr:cNvCxnSpPr/>
      </xdr:nvCxnSpPr>
      <xdr:spPr>
        <a:xfrm flipV="1">
          <a:off x="13550181216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99</xdr:row>
      <xdr:rowOff>0</xdr:rowOff>
    </xdr:from>
    <xdr:to>
      <xdr:col>7</xdr:col>
      <xdr:colOff>481590</xdr:colOff>
      <xdr:row>105</xdr:row>
      <xdr:rowOff>10828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23BD8F3-D256-E699-7455-D60F7A40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47354098" y="19651988"/>
          <a:ext cx="6272324" cy="1222571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111</xdr:row>
      <xdr:rowOff>168265</xdr:rowOff>
    </xdr:from>
    <xdr:to>
      <xdr:col>5</xdr:col>
      <xdr:colOff>136215</xdr:colOff>
      <xdr:row>113</xdr:row>
      <xdr:rowOff>132207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7E85D1C-F9A0-AC4A-AB55-ABB39A7B7844}"/>
            </a:ext>
          </a:extLst>
        </xdr:cNvPr>
        <xdr:cNvCxnSpPr/>
      </xdr:nvCxnSpPr>
      <xdr:spPr>
        <a:xfrm flipV="1">
          <a:off x="13549353968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B0BD280-5261-E446-AC1C-D44DD1E6DD1F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589B56E4-066D-8B4B-BEF8-3C84DAA953D3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115</xdr:row>
      <xdr:rowOff>132049</xdr:rowOff>
    </xdr:from>
    <xdr:to>
      <xdr:col>9</xdr:col>
      <xdr:colOff>327171</xdr:colOff>
      <xdr:row>120</xdr:row>
      <xdr:rowOff>101254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DC430CE-D7C7-CA90-62D5-D755DF44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45854022" y="23046422"/>
          <a:ext cx="7772400" cy="978991"/>
        </a:xfrm>
        <a:prstGeom prst="rect">
          <a:avLst/>
        </a:prstGeom>
      </xdr:spPr>
    </xdr:pic>
    <xdr:clientData/>
  </xdr:twoCellAnchor>
  <xdr:twoCellAnchor editAs="oneCell">
    <xdr:from>
      <xdr:col>7</xdr:col>
      <xdr:colOff>465669</xdr:colOff>
      <xdr:row>241</xdr:row>
      <xdr:rowOff>139225</xdr:rowOff>
    </xdr:from>
    <xdr:to>
      <xdr:col>10</xdr:col>
      <xdr:colOff>65400</xdr:colOff>
      <xdr:row>251</xdr:row>
      <xdr:rowOff>183368</xdr:rowOff>
    </xdr:to>
    <xdr:pic>
      <xdr:nvPicPr>
        <xdr:cNvPr id="46" name="Picture 45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25B4D297-11FC-C4B5-1068-C5C598EC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1111445" y="30680348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723289</xdr:colOff>
      <xdr:row>263</xdr:row>
      <xdr:rowOff>149411</xdr:rowOff>
    </xdr:from>
    <xdr:to>
      <xdr:col>3</xdr:col>
      <xdr:colOff>323020</xdr:colOff>
      <xdr:row>273</xdr:row>
      <xdr:rowOff>193554</xdr:rowOff>
    </xdr:to>
    <xdr:pic>
      <xdr:nvPicPr>
        <xdr:cNvPr id="47" name="Picture 46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E466A40E-8885-9B41-9B6F-3C7A366CA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629948" y="35172887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339572</xdr:colOff>
      <xdr:row>263</xdr:row>
      <xdr:rowOff>115454</xdr:rowOff>
    </xdr:from>
    <xdr:to>
      <xdr:col>6</xdr:col>
      <xdr:colOff>692726</xdr:colOff>
      <xdr:row>275</xdr:row>
      <xdr:rowOff>44144</xdr:rowOff>
    </xdr:to>
    <xdr:sp macro="" textlink="">
      <xdr:nvSpPr>
        <xdr:cNvPr id="48" name="Rounded Rectangular Callout 47">
          <a:extLst>
            <a:ext uri="{FF2B5EF4-FFF2-40B4-BE49-F238E27FC236}">
              <a16:creationId xmlns:a16="http://schemas.microsoft.com/office/drawing/2014/main" id="{4EC6CB6A-B108-5DA7-C517-32A2868C406E}"/>
            </a:ext>
          </a:extLst>
        </xdr:cNvPr>
        <xdr:cNvSpPr/>
      </xdr:nvSpPr>
      <xdr:spPr>
        <a:xfrm>
          <a:off x="13513784760" y="35138930"/>
          <a:ext cx="2828636" cy="2373610"/>
        </a:xfrm>
        <a:prstGeom prst="wedgeRoundRectCallout">
          <a:avLst>
            <a:gd name="adj1" fmla="val 81448"/>
            <a:gd name="adj2" fmla="val -2495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דגשים:</a:t>
          </a:r>
        </a:p>
        <a:p>
          <a:pPr algn="r" rtl="1"/>
          <a:r>
            <a:rPr lang="he-IL" sz="1100"/>
            <a:t>א. שירן: שי, תדגיש להם שהריבית היא 1 משום שהריבית השנתית של 12.6825% לא מתאימה לתקופת תשלום של חודש. לכן תיקנת את הריבית (חזקת 1/12) כדי לבטא ריבית לחודש.</a:t>
          </a:r>
        </a:p>
        <a:p>
          <a:pPr algn="r" rtl="1"/>
          <a:endParaRPr lang="he-IL" sz="1100"/>
        </a:p>
        <a:p>
          <a:pPr algn="r" rtl="1"/>
          <a:r>
            <a:rPr lang="he-IL" sz="1100"/>
            <a:t>ב. איהם: שי, תדגיש להם: כשאתה משלם בעד מכונה, המטרה היא שהשווי של מה שאתה משלם כלומר P</a:t>
          </a:r>
          <a:r>
            <a:rPr lang="en-US" sz="1100"/>
            <a:t>V</a:t>
          </a:r>
          <a:r>
            <a:rPr lang="he-IL" sz="1100" baseline="0"/>
            <a:t> יהיה כמה שיותר ״נמוך״ כי מדובר במה שאתה </a:t>
          </a:r>
          <a:r>
            <a:rPr lang="he-IL" sz="1100" u="sng" baseline="0"/>
            <a:t>משלם</a:t>
          </a:r>
          <a:r>
            <a:rPr lang="he-IL" sz="1100" baseline="0"/>
            <a:t>, אתה רוצה לשלם מחיר ״נמוך״. </a:t>
          </a:r>
          <a:endParaRPr lang="he-IL" sz="1100"/>
        </a:p>
        <a:p>
          <a:pPr algn="r" rtl="1"/>
          <a:endParaRPr lang="he-IL" sz="1100"/>
        </a:p>
        <a:p>
          <a:pPr algn="r" rtl="1"/>
          <a:endParaRPr lang="en-US" sz="1100"/>
        </a:p>
      </xdr:txBody>
    </xdr:sp>
    <xdr:clientData/>
  </xdr:twoCellAnchor>
  <xdr:twoCellAnchor>
    <xdr:from>
      <xdr:col>6</xdr:col>
      <xdr:colOff>743662</xdr:colOff>
      <xdr:row>265</xdr:row>
      <xdr:rowOff>101871</xdr:rowOff>
    </xdr:from>
    <xdr:to>
      <xdr:col>7</xdr:col>
      <xdr:colOff>543315</xdr:colOff>
      <xdr:row>265</xdr:row>
      <xdr:rowOff>108663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F07411C0-BD93-76B9-2B31-0A74E2251A15}"/>
            </a:ext>
          </a:extLst>
        </xdr:cNvPr>
        <xdr:cNvCxnSpPr/>
      </xdr:nvCxnSpPr>
      <xdr:spPr>
        <a:xfrm flipH="1">
          <a:off x="13513109011" y="35532834"/>
          <a:ext cx="624813" cy="67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498143</xdr:colOff>
      <xdr:row>277</xdr:row>
      <xdr:rowOff>45358</xdr:rowOff>
    </xdr:from>
    <xdr:to>
      <xdr:col>7</xdr:col>
      <xdr:colOff>821204</xdr:colOff>
      <xdr:row>286</xdr:row>
      <xdr:rowOff>192253</xdr:rowOff>
    </xdr:to>
    <xdr:pic>
      <xdr:nvPicPr>
        <xdr:cNvPr id="51" name="Picture 50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13F466E4-46FD-C539-92B9-ABA34CCDE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0147743" y="37909819"/>
          <a:ext cx="1971833" cy="1980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425802</xdr:colOff>
      <xdr:row>297</xdr:row>
      <xdr:rowOff>25918</xdr:rowOff>
    </xdr:from>
    <xdr:to>
      <xdr:col>5</xdr:col>
      <xdr:colOff>425802</xdr:colOff>
      <xdr:row>298</xdr:row>
      <xdr:rowOff>40729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5EBFE80-173F-95F4-EF69-2288C6B99425}"/>
            </a:ext>
          </a:extLst>
        </xdr:cNvPr>
        <xdr:cNvCxnSpPr/>
      </xdr:nvCxnSpPr>
      <xdr:spPr>
        <a:xfrm>
          <a:off x="13523470962" y="41935918"/>
          <a:ext cx="0" cy="218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640554</xdr:colOff>
      <xdr:row>303</xdr:row>
      <xdr:rowOff>51836</xdr:rowOff>
    </xdr:from>
    <xdr:to>
      <xdr:col>3</xdr:col>
      <xdr:colOff>509404</xdr:colOff>
      <xdr:row>310</xdr:row>
      <xdr:rowOff>150598</xdr:rowOff>
    </xdr:to>
    <xdr:pic>
      <xdr:nvPicPr>
        <xdr:cNvPr id="55" name="Picture 54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4AF39B95-97CF-6B48-A8E3-B94B9110A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038731" y="43183702"/>
          <a:ext cx="1520220" cy="152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444315</xdr:colOff>
      <xdr:row>304</xdr:row>
      <xdr:rowOff>85160</xdr:rowOff>
    </xdr:from>
    <xdr:to>
      <xdr:col>5</xdr:col>
      <xdr:colOff>596122</xdr:colOff>
      <xdr:row>308</xdr:row>
      <xdr:rowOff>170321</xdr:rowOff>
    </xdr:to>
    <xdr:sp macro="" textlink="">
      <xdr:nvSpPr>
        <xdr:cNvPr id="56" name="Rounded Rectangular Callout 55">
          <a:extLst>
            <a:ext uri="{FF2B5EF4-FFF2-40B4-BE49-F238E27FC236}">
              <a16:creationId xmlns:a16="http://schemas.microsoft.com/office/drawing/2014/main" id="{B86511BB-D707-DC1F-5E47-8B6CCF145E91}"/>
            </a:ext>
          </a:extLst>
        </xdr:cNvPr>
        <xdr:cNvSpPr/>
      </xdr:nvSpPr>
      <xdr:spPr>
        <a:xfrm>
          <a:off x="13523300642" y="43420670"/>
          <a:ext cx="1803178" cy="899738"/>
        </a:xfrm>
        <a:prstGeom prst="wedgeRoundRectCallout">
          <a:avLst>
            <a:gd name="adj1" fmla="val 68284"/>
            <a:gd name="adj2" fmla="val 1535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עידו: אני מעדיף את החלופה שהשווי שלה היום הוא כמה שיותר גבוה. במקרה זה, אעדיף את חלופה</a:t>
          </a:r>
          <a:r>
            <a:rPr lang="he-IL" sz="1100" baseline="0"/>
            <a:t> מס׳ 1. </a:t>
          </a:r>
          <a:endParaRPr lang="en-US" sz="1100"/>
        </a:p>
      </xdr:txBody>
    </xdr:sp>
    <xdr:clientData/>
  </xdr:twoCellAnchor>
  <xdr:twoCellAnchor editAs="oneCell">
    <xdr:from>
      <xdr:col>2</xdr:col>
      <xdr:colOff>709117</xdr:colOff>
      <xdr:row>326</xdr:row>
      <xdr:rowOff>202573</xdr:rowOff>
    </xdr:from>
    <xdr:to>
      <xdr:col>3</xdr:col>
      <xdr:colOff>654351</xdr:colOff>
      <xdr:row>330</xdr:row>
      <xdr:rowOff>160253</xdr:rowOff>
    </xdr:to>
    <xdr:pic>
      <xdr:nvPicPr>
        <xdr:cNvPr id="57" name="Picture 56" descr="A humorous cartoon-style illustration of the same man, now older and retired, with a receding hairline but still with some hair and his small French-style goatee. He is wearing comfortable casual clothes and sitting on a cozy porch, enjoying a relaxed moment. He has a nostalgic smile as he holds a jelly-filled doughnut in one hand and humorously heats a sausage on a small quirky heater beside him. The setting is peaceful and cheerful, with vibrant details like a sunny garden, birds, and a lighthearted atmosphere that captures the joy of retirement.">
          <a:extLst>
            <a:ext uri="{FF2B5EF4-FFF2-40B4-BE49-F238E27FC236}">
              <a16:creationId xmlns:a16="http://schemas.microsoft.com/office/drawing/2014/main" id="{D81E6639-C704-2AA1-0B98-0DA5CA8EF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79782" y="48182131"/>
          <a:ext cx="770534" cy="774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258537</xdr:colOff>
      <xdr:row>324</xdr:row>
      <xdr:rowOff>125970</xdr:rowOff>
    </xdr:from>
    <xdr:to>
      <xdr:col>7</xdr:col>
      <xdr:colOff>12840</xdr:colOff>
      <xdr:row>331</xdr:row>
      <xdr:rowOff>109051</xdr:rowOff>
    </xdr:to>
    <xdr:pic>
      <xdr:nvPicPr>
        <xdr:cNvPr id="58" name="Picture 57" descr="A humorous cartoon-style illustration of a young, slim man in his late 20s with a full head of hair, wearing a black Nike logo shirt and sporting a small, neat French-style goatee. He is inside a lively college setting, comically heating a hilariously oversized sausage with a quirky-looking heater while also eating a jelly-filled doughnut. The scene is playful and exaggerated, with funny details like jelly oozing out of the doughnut, the man's over-the-top happy expression, and amused students laughing in the background. The overall atmosphere is vibrant and full of humor.">
          <a:extLst>
            <a:ext uri="{FF2B5EF4-FFF2-40B4-BE49-F238E27FC236}">
              <a16:creationId xmlns:a16="http://schemas.microsoft.com/office/drawing/2014/main" id="{C7743AF8-10B1-10B2-25D5-4302C902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00660" y="66737470"/>
          <a:ext cx="1405303" cy="1411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544858</xdr:colOff>
      <xdr:row>333</xdr:row>
      <xdr:rowOff>80126</xdr:rowOff>
    </xdr:from>
    <xdr:to>
      <xdr:col>9</xdr:col>
      <xdr:colOff>228360</xdr:colOff>
      <xdr:row>333</xdr:row>
      <xdr:rowOff>104164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C0C46102-6AF9-6387-DEB6-AF2AF51D4572}"/>
            </a:ext>
          </a:extLst>
        </xdr:cNvPr>
        <xdr:cNvCxnSpPr/>
      </xdr:nvCxnSpPr>
      <xdr:spPr>
        <a:xfrm flipV="1">
          <a:off x="13514053975" y="49489937"/>
          <a:ext cx="7111199" cy="240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332522</xdr:colOff>
      <xdr:row>335</xdr:row>
      <xdr:rowOff>88139</xdr:rowOff>
    </xdr:from>
    <xdr:to>
      <xdr:col>7</xdr:col>
      <xdr:colOff>416655</xdr:colOff>
      <xdr:row>336</xdr:row>
      <xdr:rowOff>104164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123A9964-B0FB-4549-41E8-5275216E0EB9}"/>
            </a:ext>
          </a:extLst>
        </xdr:cNvPr>
        <xdr:cNvSpPr/>
      </xdr:nvSpPr>
      <xdr:spPr>
        <a:xfrm rot="16200000">
          <a:off x="13516273472" y="49149400"/>
          <a:ext cx="220347" cy="173473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292458</xdr:colOff>
      <xdr:row>335</xdr:row>
      <xdr:rowOff>60093</xdr:rowOff>
    </xdr:from>
    <xdr:to>
      <xdr:col>4</xdr:col>
      <xdr:colOff>765203</xdr:colOff>
      <xdr:row>336</xdr:row>
      <xdr:rowOff>88138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931451A7-C780-D036-03BB-B216F3FAF765}"/>
            </a:ext>
          </a:extLst>
        </xdr:cNvPr>
        <xdr:cNvSpPr/>
      </xdr:nvSpPr>
      <xdr:spPr>
        <a:xfrm rot="16200000">
          <a:off x="13519001768" y="48520409"/>
          <a:ext cx="232367" cy="2948644"/>
        </a:xfrm>
        <a:prstGeom prst="leftBrace">
          <a:avLst>
            <a:gd name="adj1" fmla="val 8333"/>
            <a:gd name="adj2" fmla="val 64674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96152</xdr:colOff>
      <xdr:row>326</xdr:row>
      <xdr:rowOff>76120</xdr:rowOff>
    </xdr:from>
    <xdr:to>
      <xdr:col>8</xdr:col>
      <xdr:colOff>292461</xdr:colOff>
      <xdr:row>329</xdr:row>
      <xdr:rowOff>192302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C19F21C8-4128-CD06-A1B1-CBED667DE16D}"/>
            </a:ext>
          </a:extLst>
        </xdr:cNvPr>
        <xdr:cNvSpPr/>
      </xdr:nvSpPr>
      <xdr:spPr>
        <a:xfrm>
          <a:off x="13514815174" y="48055678"/>
          <a:ext cx="1021608" cy="729148"/>
        </a:xfrm>
        <a:prstGeom prst="wedgeRoundRectCallout">
          <a:avLst>
            <a:gd name="adj1" fmla="val 70932"/>
            <a:gd name="adj2" fmla="val 206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צעיר ורענן</a:t>
          </a:r>
          <a:r>
            <a:rPr lang="he-IL" sz="1100" baseline="0"/>
            <a:t> מפקיד כל חודש 23 שנה</a:t>
          </a:r>
          <a:endParaRPr lang="en-US" sz="1100"/>
        </a:p>
      </xdr:txBody>
    </xdr:sp>
    <xdr:clientData/>
  </xdr:twoCellAnchor>
  <xdr:twoCellAnchor>
    <xdr:from>
      <xdr:col>0</xdr:col>
      <xdr:colOff>725142</xdr:colOff>
      <xdr:row>326</xdr:row>
      <xdr:rowOff>168264</xdr:rowOff>
    </xdr:from>
    <xdr:to>
      <xdr:col>2</xdr:col>
      <xdr:colOff>677067</xdr:colOff>
      <xdr:row>330</xdr:row>
      <xdr:rowOff>80125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F6FD78D5-0126-D114-4418-80C1CAB61AA8}"/>
            </a:ext>
          </a:extLst>
        </xdr:cNvPr>
        <xdr:cNvSpPr/>
      </xdr:nvSpPr>
      <xdr:spPr>
        <a:xfrm>
          <a:off x="13519382366" y="48147822"/>
          <a:ext cx="1602524" cy="729148"/>
        </a:xfrm>
        <a:prstGeom prst="wedgeRoundRectCallout">
          <a:avLst>
            <a:gd name="adj1" fmla="val -63186"/>
            <a:gd name="adj2" fmla="val -160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מבוגר וחייכן, מושך כל</a:t>
          </a:r>
          <a:r>
            <a:rPr lang="he-IL" sz="1100" baseline="0"/>
            <a:t> חודש 75 שנה</a:t>
          </a:r>
          <a:endParaRPr lang="en-US" sz="1100"/>
        </a:p>
      </xdr:txBody>
    </xdr:sp>
    <xdr:clientData/>
  </xdr:twoCellAnchor>
  <xdr:twoCellAnchor>
    <xdr:from>
      <xdr:col>4</xdr:col>
      <xdr:colOff>769212</xdr:colOff>
      <xdr:row>335</xdr:row>
      <xdr:rowOff>200316</xdr:rowOff>
    </xdr:from>
    <xdr:to>
      <xdr:col>4</xdr:col>
      <xdr:colOff>769212</xdr:colOff>
      <xdr:row>338</xdr:row>
      <xdr:rowOff>168265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C879FB8-ECF0-5120-4235-9E1EE2D8221F}"/>
            </a:ext>
          </a:extLst>
        </xdr:cNvPr>
        <xdr:cNvCxnSpPr/>
      </xdr:nvCxnSpPr>
      <xdr:spPr>
        <a:xfrm>
          <a:off x="13517639621" y="50018770"/>
          <a:ext cx="0" cy="5809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769212</xdr:colOff>
      <xdr:row>338</xdr:row>
      <xdr:rowOff>164258</xdr:rowOff>
    </xdr:from>
    <xdr:to>
      <xdr:col>5</xdr:col>
      <xdr:colOff>372588</xdr:colOff>
      <xdr:row>338</xdr:row>
      <xdr:rowOff>172271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C7654FC-1C22-CE7F-7699-883E60B9AFB6}"/>
            </a:ext>
          </a:extLst>
        </xdr:cNvPr>
        <xdr:cNvCxnSpPr/>
      </xdr:nvCxnSpPr>
      <xdr:spPr>
        <a:xfrm flipH="1">
          <a:off x="13517210946" y="50595678"/>
          <a:ext cx="428675" cy="801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372588</xdr:colOff>
      <xdr:row>336</xdr:row>
      <xdr:rowOff>152240</xdr:rowOff>
    </xdr:from>
    <xdr:to>
      <xdr:col>5</xdr:col>
      <xdr:colOff>376594</xdr:colOff>
      <xdr:row>338</xdr:row>
      <xdr:rowOff>180283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6B9FCEC-7E32-9C87-5343-A21ADFE3EEC3}"/>
            </a:ext>
          </a:extLst>
        </xdr:cNvPr>
        <xdr:cNvCxnSpPr/>
      </xdr:nvCxnSpPr>
      <xdr:spPr>
        <a:xfrm flipH="1" flipV="1">
          <a:off x="13517206940" y="50175016"/>
          <a:ext cx="4006" cy="436687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592934</xdr:colOff>
      <xdr:row>339</xdr:row>
      <xdr:rowOff>196309</xdr:rowOff>
    </xdr:from>
    <xdr:to>
      <xdr:col>1</xdr:col>
      <xdr:colOff>777224</xdr:colOff>
      <xdr:row>340</xdr:row>
      <xdr:rowOff>200316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04D2C07-B6B1-028C-95BF-AE1865C7C4DC}"/>
            </a:ext>
          </a:extLst>
        </xdr:cNvPr>
        <xdr:cNvSpPr/>
      </xdr:nvSpPr>
      <xdr:spPr>
        <a:xfrm>
          <a:off x="13520107508" y="5083205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632998</xdr:colOff>
      <xdr:row>340</xdr:row>
      <xdr:rowOff>180284</xdr:rowOff>
    </xdr:from>
    <xdr:to>
      <xdr:col>5</xdr:col>
      <xdr:colOff>817288</xdr:colOff>
      <xdr:row>341</xdr:row>
      <xdr:rowOff>184291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A2E8308B-8CE8-F42C-0A94-3B6E8358D052}"/>
            </a:ext>
          </a:extLst>
        </xdr:cNvPr>
        <xdr:cNvSpPr/>
      </xdr:nvSpPr>
      <xdr:spPr>
        <a:xfrm>
          <a:off x="13516766246" y="51020347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665048</xdr:colOff>
      <xdr:row>338</xdr:row>
      <xdr:rowOff>184290</xdr:rowOff>
    </xdr:from>
    <xdr:to>
      <xdr:col>6</xdr:col>
      <xdr:colOff>24038</xdr:colOff>
      <xdr:row>339</xdr:row>
      <xdr:rowOff>188298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47B007AB-EE03-4909-C9C0-93DE4AFD7429}"/>
            </a:ext>
          </a:extLst>
        </xdr:cNvPr>
        <xdr:cNvSpPr/>
      </xdr:nvSpPr>
      <xdr:spPr>
        <a:xfrm>
          <a:off x="13516734196" y="5061571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689147</xdr:colOff>
      <xdr:row>18</xdr:row>
      <xdr:rowOff>164081</xdr:rowOff>
    </xdr:from>
    <xdr:to>
      <xdr:col>4</xdr:col>
      <xdr:colOff>490409</xdr:colOff>
      <xdr:row>25</xdr:row>
      <xdr:rowOff>195059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A12501-0CAE-5195-E220-C67E653C1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388661" y="3826407"/>
          <a:ext cx="1455216" cy="1455216"/>
        </a:xfrm>
        <a:prstGeom prst="rect">
          <a:avLst/>
        </a:prstGeom>
      </xdr:spPr>
    </xdr:pic>
    <xdr:clientData/>
  </xdr:twoCellAnchor>
  <xdr:twoCellAnchor>
    <xdr:from>
      <xdr:col>4</xdr:col>
      <xdr:colOff>490409</xdr:colOff>
      <xdr:row>22</xdr:row>
      <xdr:rowOff>75478</xdr:rowOff>
    </xdr:from>
    <xdr:to>
      <xdr:col>5</xdr:col>
      <xdr:colOff>777752</xdr:colOff>
      <xdr:row>22</xdr:row>
      <xdr:rowOff>77839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876F60D-C11B-DB55-E2A3-3C076CA4EF5A}"/>
            </a:ext>
          </a:extLst>
        </xdr:cNvPr>
        <xdr:cNvCxnSpPr>
          <a:stCxn id="2" idx="1"/>
        </xdr:cNvCxnSpPr>
      </xdr:nvCxnSpPr>
      <xdr:spPr>
        <a:xfrm flipH="1" flipV="1">
          <a:off x="13544274341" y="4551654"/>
          <a:ext cx="1114320" cy="23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255970</xdr:colOff>
      <xdr:row>18</xdr:row>
      <xdr:rowOff>134547</xdr:rowOff>
    </xdr:from>
    <xdr:to>
      <xdr:col>2</xdr:col>
      <xdr:colOff>528348</xdr:colOff>
      <xdr:row>21</xdr:row>
      <xdr:rowOff>196900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A45A7CC-8F7D-0BEC-01BD-FC3ECBC458EA}"/>
            </a:ext>
          </a:extLst>
        </xdr:cNvPr>
        <xdr:cNvCxnSpPr/>
      </xdr:nvCxnSpPr>
      <xdr:spPr>
        <a:xfrm flipH="1">
          <a:off x="13547004676" y="3796873"/>
          <a:ext cx="1099354" cy="672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274130</xdr:colOff>
      <xdr:row>19</xdr:row>
      <xdr:rowOff>11116</xdr:rowOff>
    </xdr:from>
    <xdr:to>
      <xdr:col>2</xdr:col>
      <xdr:colOff>603364</xdr:colOff>
      <xdr:row>20</xdr:row>
      <xdr:rowOff>28534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F3E852D-A38B-4205-6DC2-178148179094}"/>
            </a:ext>
          </a:extLst>
        </xdr:cNvPr>
        <xdr:cNvSpPr/>
      </xdr:nvSpPr>
      <xdr:spPr>
        <a:xfrm rot="19593955">
          <a:off x="13546929660" y="387690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נקובה / חוזית</a:t>
          </a:r>
          <a:endParaRPr lang="en-US" sz="900"/>
        </a:p>
      </xdr:txBody>
    </xdr:sp>
    <xdr:clientData/>
  </xdr:twoCellAnchor>
  <xdr:twoCellAnchor>
    <xdr:from>
      <xdr:col>0</xdr:col>
      <xdr:colOff>666176</xdr:colOff>
      <xdr:row>22</xdr:row>
      <xdr:rowOff>124703</xdr:rowOff>
    </xdr:from>
    <xdr:to>
      <xdr:col>2</xdr:col>
      <xdr:colOff>548037</xdr:colOff>
      <xdr:row>22</xdr:row>
      <xdr:rowOff>144392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D0F94E3-D26F-9D66-73CF-00272B1E0963}"/>
            </a:ext>
          </a:extLst>
        </xdr:cNvPr>
        <xdr:cNvCxnSpPr/>
      </xdr:nvCxnSpPr>
      <xdr:spPr>
        <a:xfrm flipH="1">
          <a:off x="13546984987" y="4600879"/>
          <a:ext cx="1535814" cy="196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766377</xdr:colOff>
      <xdr:row>21</xdr:row>
      <xdr:rowOff>80031</xdr:rowOff>
    </xdr:from>
    <xdr:to>
      <xdr:col>2</xdr:col>
      <xdr:colOff>268634</xdr:colOff>
      <xdr:row>22</xdr:row>
      <xdr:rowOff>97449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EA768E79-4396-63D6-7F0D-F46C9E7AAF3E}"/>
            </a:ext>
          </a:extLst>
        </xdr:cNvPr>
        <xdr:cNvSpPr/>
      </xdr:nvSpPr>
      <xdr:spPr>
        <a:xfrm>
          <a:off x="13547264390" y="435274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דריבית</a:t>
          </a:r>
          <a:endParaRPr lang="en-US" sz="900"/>
        </a:p>
      </xdr:txBody>
    </xdr:sp>
    <xdr:clientData/>
  </xdr:twoCellAnchor>
  <xdr:twoCellAnchor>
    <xdr:from>
      <xdr:col>1</xdr:col>
      <xdr:colOff>19690</xdr:colOff>
      <xdr:row>23</xdr:row>
      <xdr:rowOff>105013</xdr:rowOff>
    </xdr:from>
    <xdr:to>
      <xdr:col>2</xdr:col>
      <xdr:colOff>544755</xdr:colOff>
      <xdr:row>26</xdr:row>
      <xdr:rowOff>141111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2A4A04FD-9582-EFBD-CB77-CDD4044220E4}"/>
            </a:ext>
          </a:extLst>
        </xdr:cNvPr>
        <xdr:cNvCxnSpPr/>
      </xdr:nvCxnSpPr>
      <xdr:spPr>
        <a:xfrm flipH="1" flipV="1">
          <a:off x="13546988269" y="4784651"/>
          <a:ext cx="1352041" cy="6464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756533</xdr:colOff>
      <xdr:row>24</xdr:row>
      <xdr:rowOff>47213</xdr:rowOff>
    </xdr:from>
    <xdr:to>
      <xdr:col>2</xdr:col>
      <xdr:colOff>258790</xdr:colOff>
      <xdr:row>25</xdr:row>
      <xdr:rowOff>64632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2AC9C701-C7E2-B1B4-1670-98C0FE8BCE42}"/>
            </a:ext>
          </a:extLst>
        </xdr:cNvPr>
        <xdr:cNvSpPr/>
      </xdr:nvSpPr>
      <xdr:spPr>
        <a:xfrm rot="1541281">
          <a:off x="13547274234" y="493031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מראש</a:t>
          </a:r>
          <a:r>
            <a:rPr lang="he-IL" sz="900" baseline="0"/>
            <a:t> ועמלות</a:t>
          </a:r>
          <a:endParaRPr lang="en-US" sz="900"/>
        </a:p>
      </xdr:txBody>
    </xdr:sp>
    <xdr:clientData/>
  </xdr:twoCellAnchor>
  <xdr:twoCellAnchor>
    <xdr:from>
      <xdr:col>2</xdr:col>
      <xdr:colOff>758063</xdr:colOff>
      <xdr:row>45</xdr:row>
      <xdr:rowOff>118139</xdr:rowOff>
    </xdr:from>
    <xdr:to>
      <xdr:col>7</xdr:col>
      <xdr:colOff>525066</xdr:colOff>
      <xdr:row>45</xdr:row>
      <xdr:rowOff>118139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6E656153-39B4-03AC-BCE3-BD9ECFC65049}"/>
            </a:ext>
          </a:extLst>
        </xdr:cNvPr>
        <xdr:cNvCxnSpPr/>
      </xdr:nvCxnSpPr>
      <xdr:spPr>
        <a:xfrm>
          <a:off x="13542873074" y="9378966"/>
          <a:ext cx="39018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465995</xdr:colOff>
      <xdr:row>41</xdr:row>
      <xdr:rowOff>183772</xdr:rowOff>
    </xdr:from>
    <xdr:to>
      <xdr:col>7</xdr:col>
      <xdr:colOff>387236</xdr:colOff>
      <xdr:row>43</xdr:row>
      <xdr:rowOff>29535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E0B9BF35-10B7-08EB-296D-4F0DAC1C9A07}"/>
            </a:ext>
          </a:extLst>
        </xdr:cNvPr>
        <xdr:cNvSpPr/>
      </xdr:nvSpPr>
      <xdr:spPr>
        <a:xfrm rot="5400000">
          <a:off x="13544499134" y="7142519"/>
          <a:ext cx="252688" cy="322914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469278</xdr:colOff>
      <xdr:row>40</xdr:row>
      <xdr:rowOff>176160</xdr:rowOff>
    </xdr:from>
    <xdr:ext cx="150368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𝑟_𝐶=10%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118141</xdr:colOff>
      <xdr:row>42</xdr:row>
      <xdr:rowOff>44893</xdr:rowOff>
    </xdr:from>
    <xdr:ext cx="54147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377391</xdr:colOff>
      <xdr:row>46</xdr:row>
      <xdr:rowOff>160801</xdr:rowOff>
    </xdr:from>
    <xdr:to>
      <xdr:col>7</xdr:col>
      <xdr:colOff>413490</xdr:colOff>
      <xdr:row>48</xdr:row>
      <xdr:rowOff>6564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0D7FADBC-9F7A-02E6-0AD8-7EEAC4B0BC99}"/>
            </a:ext>
          </a:extLst>
        </xdr:cNvPr>
        <xdr:cNvSpPr/>
      </xdr:nvSpPr>
      <xdr:spPr>
        <a:xfrm rot="16200000">
          <a:off x="13543289844" y="9319896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157521</xdr:colOff>
      <xdr:row>48</xdr:row>
      <xdr:rowOff>18640</xdr:rowOff>
    </xdr:from>
    <xdr:ext cx="1503689" cy="2304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en-US" sz="8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10%</m:t>
                        </m:r>
                      </m:num>
                      <m:den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4</m:t>
                        </m:r>
                      </m:den>
                    </m:f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</a:t>
              </a:r>
              <a:r>
                <a:rPr lang="en-US" sz="800" b="0" i="0">
                  <a:latin typeface="Cambria Math" panose="02040503050406030204" pitchFamily="18" charset="0"/>
                </a:rPr>
                <a:t>=</a:t>
              </a:r>
              <a:r>
                <a:rPr lang="he-IL" sz="800" b="0" i="0">
                  <a:latin typeface="Cambria Math" panose="02040503050406030204" pitchFamily="18" charset="0"/>
                </a:rPr>
                <a:t>(10%)/4=2.5%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5</xdr:col>
      <xdr:colOff>488968</xdr:colOff>
      <xdr:row>46</xdr:row>
      <xdr:rowOff>31766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100∗(1+2.5%)</m:t>
                    </m:r>
                  </m:oMath>
                </m:oMathPara>
              </a14:m>
              <a:endParaRPr lang="en-US" sz="8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100∗(1+2.5%)</a:t>
              </a:r>
              <a:endParaRPr lang="en-US" sz="8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305194</xdr:colOff>
      <xdr:row>46</xdr:row>
      <xdr:rowOff>157519</xdr:rowOff>
    </xdr:from>
    <xdr:to>
      <xdr:col>6</xdr:col>
      <xdr:colOff>341294</xdr:colOff>
      <xdr:row>48</xdr:row>
      <xdr:rowOff>3282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F3C69845-4CA2-64C9-7724-A851C365C086}"/>
            </a:ext>
          </a:extLst>
        </xdr:cNvPr>
        <xdr:cNvSpPr/>
      </xdr:nvSpPr>
      <xdr:spPr>
        <a:xfrm rot="16200000">
          <a:off x="13544189017" y="9316614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708838</xdr:colOff>
      <xdr:row>48</xdr:row>
      <xdr:rowOff>64583</xdr:rowOff>
    </xdr:from>
    <xdr:ext cx="1503689" cy="1438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4</xdr:col>
      <xdr:colOff>469279</xdr:colOff>
      <xdr:row>46</xdr:row>
      <xdr:rowOff>28486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4</xdr:col>
      <xdr:colOff>239561</xdr:colOff>
      <xdr:row>46</xdr:row>
      <xdr:rowOff>144393</xdr:rowOff>
    </xdr:from>
    <xdr:to>
      <xdr:col>5</xdr:col>
      <xdr:colOff>275660</xdr:colOff>
      <xdr:row>47</xdr:row>
      <xdr:rowOff>193618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E9569A4B-0EB4-2467-EDDE-ED56F8A53370}"/>
            </a:ext>
          </a:extLst>
        </xdr:cNvPr>
        <xdr:cNvSpPr/>
      </xdr:nvSpPr>
      <xdr:spPr>
        <a:xfrm rot="16200000">
          <a:off x="13545081627" y="9303488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311760</xdr:colOff>
      <xdr:row>46</xdr:row>
      <xdr:rowOff>28485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100∗(1+2.5%)^3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728528</xdr:colOff>
      <xdr:row>48</xdr:row>
      <xdr:rowOff>61301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2.5%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3</xdr:col>
      <xdr:colOff>127985</xdr:colOff>
      <xdr:row>46</xdr:row>
      <xdr:rowOff>150957</xdr:rowOff>
    </xdr:from>
    <xdr:to>
      <xdr:col>4</xdr:col>
      <xdr:colOff>164084</xdr:colOff>
      <xdr:row>47</xdr:row>
      <xdr:rowOff>200182</xdr:rowOff>
    </xdr:to>
    <xdr:sp macro="" textlink="">
      <xdr:nvSpPr>
        <xdr:cNvPr id="32" name="Left Brace 31">
          <a:extLst>
            <a:ext uri="{FF2B5EF4-FFF2-40B4-BE49-F238E27FC236}">
              <a16:creationId xmlns:a16="http://schemas.microsoft.com/office/drawing/2014/main" id="{3FFCBC2D-88BD-5836-5D7F-8EB40514FC9B}"/>
            </a:ext>
          </a:extLst>
        </xdr:cNvPr>
        <xdr:cNvSpPr/>
      </xdr:nvSpPr>
      <xdr:spPr>
        <a:xfrm rot="16200000">
          <a:off x="13546020180" y="9310052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9848</xdr:colOff>
      <xdr:row>46</xdr:row>
      <xdr:rowOff>8795</xdr:rowOff>
    </xdr:from>
    <xdr:ext cx="1503689" cy="1645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𝟏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𝟐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.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𝟓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%</m:t>
                            </m:r>
                          </m:e>
                        </m:d>
                      </m:e>
                      <m:sup>
                        <m: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𝟒</m:t>
                        </m:r>
                      </m:sup>
                    </m:sSup>
                  </m:oMath>
                </m:oMathPara>
              </a14:m>
              <a:endParaRPr lang="en-US" sz="800" b="1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0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𝟏𝟎𝟎∗(𝟏+𝟐.𝟓%)^𝟒</a:t>
              </a:r>
              <a:endParaRPr lang="en-US" sz="800" b="1"/>
            </a:p>
          </xdr:txBody>
        </xdr:sp>
      </mc:Fallback>
    </mc:AlternateContent>
    <xdr:clientData/>
  </xdr:oneCellAnchor>
  <xdr:oneCellAnchor>
    <xdr:from>
      <xdr:col>5</xdr:col>
      <xdr:colOff>157519</xdr:colOff>
      <xdr:row>69</xdr:row>
      <xdr:rowOff>44893</xdr:rowOff>
    </xdr:from>
    <xdr:ext cx="185810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110.3812891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110.3812891/100−1=10.3813%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219872</xdr:colOff>
      <xdr:row>75</xdr:row>
      <xdr:rowOff>64582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242843</xdr:colOff>
      <xdr:row>74</xdr:row>
      <xdr:rowOff>91887</xdr:rowOff>
    </xdr:from>
    <xdr:to>
      <xdr:col>6</xdr:col>
      <xdr:colOff>748218</xdr:colOff>
      <xdr:row>76</xdr:row>
      <xdr:rowOff>131267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F9480DA-A59C-24DF-00AC-BB28DE5CBFF5}"/>
            </a:ext>
          </a:extLst>
        </xdr:cNvPr>
        <xdr:cNvCxnSpPr/>
      </xdr:nvCxnSpPr>
      <xdr:spPr>
        <a:xfrm flipH="1" flipV="1">
          <a:off x="13543476899" y="15253127"/>
          <a:ext cx="505375" cy="4463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643204</xdr:colOff>
      <xdr:row>73</xdr:row>
      <xdr:rowOff>193617</xdr:rowOff>
    </xdr:from>
    <xdr:to>
      <xdr:col>5</xdr:col>
      <xdr:colOff>744935</xdr:colOff>
      <xdr:row>75</xdr:row>
      <xdr:rowOff>134548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16C9410A-EBF6-E2D3-5D89-81BB60EB1756}"/>
            </a:ext>
          </a:extLst>
        </xdr:cNvPr>
        <xdr:cNvCxnSpPr/>
      </xdr:nvCxnSpPr>
      <xdr:spPr>
        <a:xfrm flipH="1" flipV="1">
          <a:off x="13544307158" y="15151395"/>
          <a:ext cx="101731" cy="34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511938</xdr:colOff>
      <xdr:row>74</xdr:row>
      <xdr:rowOff>3282</xdr:rowOff>
    </xdr:from>
    <xdr:to>
      <xdr:col>5</xdr:col>
      <xdr:colOff>49225</xdr:colOff>
      <xdr:row>75</xdr:row>
      <xdr:rowOff>114858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A4F511D-5FD8-CD67-7F67-88B8D8C87F11}"/>
            </a:ext>
          </a:extLst>
        </xdr:cNvPr>
        <xdr:cNvCxnSpPr/>
      </xdr:nvCxnSpPr>
      <xdr:spPr>
        <a:xfrm flipV="1">
          <a:off x="13545002868" y="15164522"/>
          <a:ext cx="364264" cy="3150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817133</xdr:colOff>
      <xdr:row>76</xdr:row>
      <xdr:rowOff>62352</xdr:rowOff>
    </xdr:from>
    <xdr:to>
      <xdr:col>4</xdr:col>
      <xdr:colOff>36098</xdr:colOff>
      <xdr:row>76</xdr:row>
      <xdr:rowOff>62353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A14CD07-E36B-C4E0-0F3C-808E8BCF4364}"/>
            </a:ext>
          </a:extLst>
        </xdr:cNvPr>
        <xdr:cNvCxnSpPr/>
      </xdr:nvCxnSpPr>
      <xdr:spPr>
        <a:xfrm flipV="1">
          <a:off x="13545842972" y="15630517"/>
          <a:ext cx="87291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784315</xdr:colOff>
      <xdr:row>77</xdr:row>
      <xdr:rowOff>177209</xdr:rowOff>
    </xdr:from>
    <xdr:to>
      <xdr:col>4</xdr:col>
      <xdr:colOff>784315</xdr:colOff>
      <xdr:row>78</xdr:row>
      <xdr:rowOff>137830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D86D67BE-A3F8-07B9-F78E-2050C93DECA5}"/>
            </a:ext>
          </a:extLst>
        </xdr:cNvPr>
        <xdr:cNvCxnSpPr/>
      </xdr:nvCxnSpPr>
      <xdr:spPr>
        <a:xfrm>
          <a:off x="13545094755" y="15948837"/>
          <a:ext cx="0" cy="1640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246125</xdr:colOff>
      <xdr:row>81</xdr:row>
      <xdr:rowOff>25202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567726</xdr:colOff>
      <xdr:row>81</xdr:row>
      <xdr:rowOff>98450</xdr:rowOff>
    </xdr:from>
    <xdr:to>
      <xdr:col>5</xdr:col>
      <xdr:colOff>813850</xdr:colOff>
      <xdr:row>82</xdr:row>
      <xdr:rowOff>105012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D33C69DA-83F9-9ED6-039D-9130FC6F8000}"/>
            </a:ext>
          </a:extLst>
        </xdr:cNvPr>
        <xdr:cNvCxnSpPr/>
      </xdr:nvCxnSpPr>
      <xdr:spPr>
        <a:xfrm>
          <a:off x="13544238243" y="16683928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764626</xdr:colOff>
      <xdr:row>82</xdr:row>
      <xdr:rowOff>137830</xdr:rowOff>
    </xdr:from>
    <xdr:to>
      <xdr:col>5</xdr:col>
      <xdr:colOff>183773</xdr:colOff>
      <xdr:row>83</xdr:row>
      <xdr:rowOff>144393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2E74DB2B-B857-A889-D4DB-5E51CC1DDD96}"/>
            </a:ext>
          </a:extLst>
        </xdr:cNvPr>
        <xdr:cNvCxnSpPr/>
      </xdr:nvCxnSpPr>
      <xdr:spPr>
        <a:xfrm>
          <a:off x="13544868320" y="16926771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131267</xdr:colOff>
      <xdr:row>81</xdr:row>
      <xdr:rowOff>82042</xdr:rowOff>
    </xdr:from>
    <xdr:to>
      <xdr:col>4</xdr:col>
      <xdr:colOff>377391</xdr:colOff>
      <xdr:row>82</xdr:row>
      <xdr:rowOff>88604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99033589-8408-F6C1-E6EE-84B93F25434E}"/>
            </a:ext>
          </a:extLst>
        </xdr:cNvPr>
        <xdr:cNvCxnSpPr/>
      </xdr:nvCxnSpPr>
      <xdr:spPr>
        <a:xfrm>
          <a:off x="13545501679" y="16667520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42664</xdr:colOff>
      <xdr:row>85</xdr:row>
      <xdr:rowOff>15357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89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92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94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754783</xdr:colOff>
      <xdr:row>97</xdr:row>
      <xdr:rowOff>143341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114858</xdr:colOff>
      <xdr:row>99</xdr:row>
      <xdr:rowOff>134547</xdr:rowOff>
    </xdr:from>
    <xdr:to>
      <xdr:col>5</xdr:col>
      <xdr:colOff>118140</xdr:colOff>
      <xdr:row>101</xdr:row>
      <xdr:rowOff>65633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63C5CE09-8B3A-9F6B-D44F-ED5E590DB168}"/>
            </a:ext>
          </a:extLst>
        </xdr:cNvPr>
        <xdr:cNvCxnSpPr/>
      </xdr:nvCxnSpPr>
      <xdr:spPr>
        <a:xfrm flipH="1">
          <a:off x="13544933953" y="20382351"/>
          <a:ext cx="3282" cy="3380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682587</xdr:colOff>
      <xdr:row>101</xdr:row>
      <xdr:rowOff>64581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702274</xdr:colOff>
      <xdr:row>98</xdr:row>
      <xdr:rowOff>75478</xdr:rowOff>
    </xdr:from>
    <xdr:to>
      <xdr:col>4</xdr:col>
      <xdr:colOff>708838</xdr:colOff>
      <xdr:row>106</xdr:row>
      <xdr:rowOff>9845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F7697264-1D63-BAA5-8A20-292969B35B10}"/>
            </a:ext>
          </a:extLst>
        </xdr:cNvPr>
        <xdr:cNvCxnSpPr/>
      </xdr:nvCxnSpPr>
      <xdr:spPr>
        <a:xfrm>
          <a:off x="13545170232" y="20119819"/>
          <a:ext cx="6564" cy="15620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423335</xdr:colOff>
      <xdr:row>106</xdr:row>
      <xdr:rowOff>8794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119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122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124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3629</xdr:colOff>
      <xdr:row>136</xdr:row>
      <xdr:rowOff>105228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127986</xdr:colOff>
      <xdr:row>146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147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148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108296</xdr:colOff>
      <xdr:row>148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707572</xdr:colOff>
      <xdr:row>157</xdr:row>
      <xdr:rowOff>152399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108444</xdr:colOff>
      <xdr:row>161</xdr:row>
      <xdr:rowOff>58057</xdr:rowOff>
    </xdr:from>
    <xdr:to>
      <xdr:col>10</xdr:col>
      <xdr:colOff>486228</xdr:colOff>
      <xdr:row>171</xdr:row>
      <xdr:rowOff>117929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4D007E5-3DA1-FF0F-8D88-9FC67485A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957886" y="33034514"/>
          <a:ext cx="2032413" cy="209187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141535</xdr:colOff>
      <xdr:row>37</xdr:row>
      <xdr:rowOff>119461</xdr:rowOff>
    </xdr:from>
    <xdr:to>
      <xdr:col>3</xdr:col>
      <xdr:colOff>631215</xdr:colOff>
      <xdr:row>43</xdr:row>
      <xdr:rowOff>93882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E5F96-F5EF-7A89-6EE5-08953C4E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390000" y="7689732"/>
          <a:ext cx="2995212" cy="1190867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37</xdr:row>
      <xdr:rowOff>32360</xdr:rowOff>
    </xdr:from>
    <xdr:to>
      <xdr:col>7</xdr:col>
      <xdr:colOff>801224</xdr:colOff>
      <xdr:row>43</xdr:row>
      <xdr:rowOff>189670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A471A6-8B6E-EA1F-7371-4F0716BE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263381" y="7592829"/>
          <a:ext cx="3363119" cy="1371747"/>
        </a:xfrm>
        <a:prstGeom prst="rect">
          <a:avLst/>
        </a:prstGeom>
      </xdr:spPr>
    </xdr:pic>
    <xdr:clientData/>
  </xdr:twoCellAnchor>
  <xdr:twoCellAnchor editAs="oneCell">
    <xdr:from>
      <xdr:col>8</xdr:col>
      <xdr:colOff>125382</xdr:colOff>
      <xdr:row>96</xdr:row>
      <xdr:rowOff>10526</xdr:rowOff>
    </xdr:from>
    <xdr:to>
      <xdr:col>11</xdr:col>
      <xdr:colOff>54278</xdr:colOff>
      <xdr:row>107</xdr:row>
      <xdr:rowOff>26372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C6E58D-837F-E5F8-6E5F-F563913E4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9235022" y="19545876"/>
          <a:ext cx="2404182" cy="2264636"/>
        </a:xfrm>
        <a:prstGeom prst="rect">
          <a:avLst/>
        </a:prstGeom>
      </xdr:spPr>
    </xdr:pic>
    <xdr:clientData/>
  </xdr:twoCellAnchor>
  <xdr:oneCellAnchor>
    <xdr:from>
      <xdr:col>5</xdr:col>
      <xdr:colOff>291212</xdr:colOff>
      <xdr:row>120</xdr:row>
      <xdr:rowOff>16017</xdr:rowOff>
    </xdr:from>
    <xdr:ext cx="218802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711849</xdr:colOff>
      <xdr:row>122</xdr:row>
      <xdr:rowOff>24104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642427</xdr:colOff>
      <xdr:row>143</xdr:row>
      <xdr:rowOff>11140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BF723-6CDE-2448-8CB3-9DBC07BD6890}">
  <dimension ref="A1:L259"/>
  <sheetViews>
    <sheetView rightToLeft="1" zoomScale="252" zoomScaleNormal="280" workbookViewId="0">
      <selection activeCell="A2" sqref="A2"/>
    </sheetView>
  </sheetViews>
  <sheetFormatPr baseColWidth="10" defaultRowHeight="16" x14ac:dyDescent="0.2"/>
  <cols>
    <col min="1" max="5" width="10.83203125" style="1"/>
    <col min="6" max="6" width="11.83203125" style="1" customWidth="1"/>
    <col min="7" max="16384" width="10.83203125" style="1"/>
  </cols>
  <sheetData>
    <row r="1" spans="1:8" x14ac:dyDescent="0.2">
      <c r="A1" s="207" t="s">
        <v>1628</v>
      </c>
      <c r="B1" s="207"/>
      <c r="C1" s="207"/>
      <c r="D1" s="207"/>
      <c r="E1" s="207"/>
      <c r="F1" s="207"/>
      <c r="G1" s="207"/>
      <c r="H1" s="207"/>
    </row>
    <row r="2" spans="1:8" x14ac:dyDescent="0.2">
      <c r="A2" s="2" t="s">
        <v>0</v>
      </c>
    </row>
    <row r="3" spans="1:8" x14ac:dyDescent="0.2">
      <c r="A3" s="2" t="s">
        <v>1</v>
      </c>
    </row>
    <row r="4" spans="1:8" x14ac:dyDescent="0.2">
      <c r="A4" s="2" t="s">
        <v>2</v>
      </c>
    </row>
    <row r="5" spans="1:8" ht="17" thickBot="1" x14ac:dyDescent="0.25"/>
    <row r="6" spans="1:8" ht="17" thickBot="1" x14ac:dyDescent="0.25">
      <c r="A6" s="3" t="s">
        <v>3</v>
      </c>
      <c r="B6" s="4"/>
      <c r="C6" s="4"/>
      <c r="D6" s="4"/>
      <c r="E6" s="4"/>
      <c r="F6" s="4"/>
      <c r="G6" s="4"/>
      <c r="H6" s="5"/>
    </row>
    <row r="7" spans="1:8" x14ac:dyDescent="0.2">
      <c r="A7" s="1" t="s">
        <v>4</v>
      </c>
    </row>
    <row r="8" spans="1:8" x14ac:dyDescent="0.2">
      <c r="A8" s="1" t="s">
        <v>5</v>
      </c>
    </row>
    <row r="9" spans="1:8" x14ac:dyDescent="0.2">
      <c r="A9" s="1" t="s">
        <v>6</v>
      </c>
    </row>
    <row r="10" spans="1:8" x14ac:dyDescent="0.2">
      <c r="A10" s="1" t="s">
        <v>7</v>
      </c>
    </row>
    <row r="11" spans="1:8" ht="17" thickBot="1" x14ac:dyDescent="0.25"/>
    <row r="12" spans="1:8" ht="17" thickBot="1" x14ac:dyDescent="0.25">
      <c r="A12" s="3" t="s">
        <v>8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9</v>
      </c>
    </row>
    <row r="14" spans="1:8" x14ac:dyDescent="0.2">
      <c r="A14" s="1" t="s">
        <v>10</v>
      </c>
    </row>
    <row r="15" spans="1:8" x14ac:dyDescent="0.2">
      <c r="A15" s="1" t="s">
        <v>11</v>
      </c>
    </row>
    <row r="16" spans="1:8" ht="17" thickBot="1" x14ac:dyDescent="0.25"/>
    <row r="17" spans="1:8" ht="17" thickBot="1" x14ac:dyDescent="0.25">
      <c r="A17" s="3" t="s">
        <v>12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14</v>
      </c>
    </row>
    <row r="19" spans="1:8" x14ac:dyDescent="0.2">
      <c r="A19" s="1" t="s">
        <v>13</v>
      </c>
    </row>
    <row r="20" spans="1:8" x14ac:dyDescent="0.2">
      <c r="A20" s="1" t="s">
        <v>15</v>
      </c>
    </row>
    <row r="21" spans="1:8" x14ac:dyDescent="0.2">
      <c r="A21" s="1" t="s">
        <v>16</v>
      </c>
    </row>
    <row r="23" spans="1:8" x14ac:dyDescent="0.2">
      <c r="A23" s="1" t="s">
        <v>17</v>
      </c>
    </row>
    <row r="24" spans="1:8" x14ac:dyDescent="0.2">
      <c r="A24" s="1" t="s">
        <v>18</v>
      </c>
    </row>
    <row r="28" spans="1:8" ht="17" thickBot="1" x14ac:dyDescent="0.25"/>
    <row r="29" spans="1:8" ht="17" thickBot="1" x14ac:dyDescent="0.25">
      <c r="A29" s="8" t="s">
        <v>19</v>
      </c>
      <c r="B29" s="9"/>
      <c r="C29" s="9"/>
      <c r="D29" s="9"/>
      <c r="E29" s="9"/>
      <c r="F29" s="9"/>
      <c r="G29" s="9"/>
      <c r="H29" s="10"/>
    </row>
    <row r="31" spans="1:8" x14ac:dyDescent="0.2">
      <c r="A31" s="1" t="s">
        <v>20</v>
      </c>
    </row>
    <row r="32" spans="1:8" x14ac:dyDescent="0.2">
      <c r="A32" s="1" t="s">
        <v>21</v>
      </c>
    </row>
    <row r="33" spans="1:8" x14ac:dyDescent="0.2">
      <c r="A33" s="1" t="s">
        <v>22</v>
      </c>
    </row>
    <row r="34" spans="1:8" x14ac:dyDescent="0.2">
      <c r="A34" s="1" t="s">
        <v>1587</v>
      </c>
    </row>
    <row r="36" spans="1:8" x14ac:dyDescent="0.2">
      <c r="A36" s="11" t="s">
        <v>23</v>
      </c>
      <c r="B36" s="11"/>
      <c r="C36" s="11"/>
      <c r="D36" s="11"/>
      <c r="E36" s="11"/>
      <c r="F36" s="11"/>
      <c r="G36" s="11"/>
      <c r="H36" s="11"/>
    </row>
    <row r="37" spans="1:8" x14ac:dyDescent="0.2">
      <c r="A37" s="1" t="s">
        <v>24</v>
      </c>
    </row>
    <row r="38" spans="1:8" x14ac:dyDescent="0.2">
      <c r="A38" s="1" t="s">
        <v>25</v>
      </c>
    </row>
    <row r="39" spans="1:8" x14ac:dyDescent="0.2">
      <c r="A39" s="1" t="s">
        <v>26</v>
      </c>
    </row>
    <row r="41" spans="1:8" x14ac:dyDescent="0.2">
      <c r="A41" s="1" t="s">
        <v>27</v>
      </c>
    </row>
    <row r="43" spans="1:8" x14ac:dyDescent="0.2">
      <c r="A43" s="1" t="s">
        <v>28</v>
      </c>
    </row>
    <row r="46" spans="1:8" x14ac:dyDescent="0.2">
      <c r="B46" s="1" t="s">
        <v>35</v>
      </c>
      <c r="D46" s="1" t="s">
        <v>1588</v>
      </c>
      <c r="G46" s="1" t="s">
        <v>36</v>
      </c>
    </row>
    <row r="47" spans="1:8" x14ac:dyDescent="0.2">
      <c r="B47" s="1" t="s">
        <v>29</v>
      </c>
      <c r="D47" s="1" t="s">
        <v>1589</v>
      </c>
      <c r="G47" s="1" t="s">
        <v>32</v>
      </c>
    </row>
    <row r="48" spans="1:8" x14ac:dyDescent="0.2">
      <c r="B48" s="1" t="s">
        <v>30</v>
      </c>
      <c r="D48" s="1" t="s">
        <v>1590</v>
      </c>
      <c r="G48" s="1" t="s">
        <v>33</v>
      </c>
    </row>
    <row r="49" spans="1:8" x14ac:dyDescent="0.2">
      <c r="B49" s="1" t="s">
        <v>31</v>
      </c>
      <c r="D49" s="1" t="s">
        <v>1591</v>
      </c>
      <c r="G49" s="2" t="s">
        <v>37</v>
      </c>
    </row>
    <row r="50" spans="1:8" x14ac:dyDescent="0.2">
      <c r="B50" s="2" t="s">
        <v>34</v>
      </c>
    </row>
    <row r="53" spans="1:8" x14ac:dyDescent="0.2">
      <c r="A53" s="1" t="s">
        <v>38</v>
      </c>
      <c r="B53" s="73">
        <v>-40000</v>
      </c>
      <c r="C53" s="12" t="s">
        <v>39</v>
      </c>
      <c r="D53" s="1" t="s">
        <v>40</v>
      </c>
    </row>
    <row r="54" spans="1:8" x14ac:dyDescent="0.2">
      <c r="A54" s="1" t="s">
        <v>41</v>
      </c>
      <c r="B54" s="73">
        <v>5</v>
      </c>
      <c r="C54" s="12" t="s">
        <v>42</v>
      </c>
      <c r="D54" s="1" t="s">
        <v>43</v>
      </c>
    </row>
    <row r="55" spans="1:8" x14ac:dyDescent="0.2">
      <c r="A55" s="1" t="s">
        <v>44</v>
      </c>
      <c r="B55" s="73">
        <v>7</v>
      </c>
      <c r="C55" s="12" t="s">
        <v>45</v>
      </c>
      <c r="D55" s="1" t="s">
        <v>46</v>
      </c>
    </row>
    <row r="56" spans="1:8" x14ac:dyDescent="0.2">
      <c r="A56" s="1" t="s">
        <v>49</v>
      </c>
      <c r="B56" s="73">
        <v>0</v>
      </c>
      <c r="C56" s="12" t="s">
        <v>47</v>
      </c>
      <c r="D56" s="1" t="s">
        <v>48</v>
      </c>
    </row>
    <row r="57" spans="1:8" x14ac:dyDescent="0.2">
      <c r="A57" s="1" t="s">
        <v>52</v>
      </c>
      <c r="B57" s="17">
        <f>FV(B54/100,B55,B56,B53)</f>
        <v>56284.016906250006</v>
      </c>
      <c r="C57" s="12" t="s">
        <v>50</v>
      </c>
      <c r="D57" s="13" t="s">
        <v>51</v>
      </c>
      <c r="E57" s="196" t="s">
        <v>1592</v>
      </c>
    </row>
    <row r="58" spans="1:8" s="196" customFormat="1" x14ac:dyDescent="0.2"/>
    <row r="59" spans="1:8" s="196" customFormat="1" x14ac:dyDescent="0.2">
      <c r="A59" s="197" t="s">
        <v>53</v>
      </c>
    </row>
    <row r="60" spans="1:8" s="196" customFormat="1" x14ac:dyDescent="0.2"/>
    <row r="61" spans="1:8" x14ac:dyDescent="0.2">
      <c r="A61" s="11" t="s">
        <v>54</v>
      </c>
      <c r="B61" s="11"/>
      <c r="C61" s="11"/>
      <c r="D61" s="11"/>
      <c r="E61" s="11"/>
      <c r="F61" s="11"/>
      <c r="G61" s="11"/>
      <c r="H61" s="11"/>
    </row>
    <row r="63" spans="1:8" x14ac:dyDescent="0.2">
      <c r="A63" s="1" t="s">
        <v>55</v>
      </c>
    </row>
    <row r="64" spans="1:8" x14ac:dyDescent="0.2">
      <c r="A64" s="1" t="s">
        <v>56</v>
      </c>
    </row>
    <row r="65" spans="1:8" x14ac:dyDescent="0.2">
      <c r="A65" s="1" t="s">
        <v>57</v>
      </c>
    </row>
    <row r="67" spans="1:8" x14ac:dyDescent="0.2">
      <c r="A67" s="1" t="s">
        <v>38</v>
      </c>
      <c r="B67" s="73">
        <v>-100000</v>
      </c>
      <c r="C67" s="12" t="s">
        <v>39</v>
      </c>
      <c r="D67" s="1" t="s">
        <v>58</v>
      </c>
    </row>
    <row r="68" spans="1:8" x14ac:dyDescent="0.2">
      <c r="A68" s="1" t="s">
        <v>41</v>
      </c>
      <c r="B68" s="73">
        <v>0.1</v>
      </c>
      <c r="C68" s="12" t="s">
        <v>42</v>
      </c>
      <c r="D68" s="1" t="s">
        <v>59</v>
      </c>
    </row>
    <row r="69" spans="1:8" x14ac:dyDescent="0.2">
      <c r="A69" s="1" t="s">
        <v>44</v>
      </c>
      <c r="B69" s="73">
        <v>36</v>
      </c>
      <c r="C69" s="12" t="s">
        <v>45</v>
      </c>
      <c r="D69" s="1" t="s">
        <v>60</v>
      </c>
    </row>
    <row r="70" spans="1:8" x14ac:dyDescent="0.2">
      <c r="A70" s="1" t="s">
        <v>49</v>
      </c>
      <c r="B70" s="73">
        <v>0</v>
      </c>
      <c r="C70" s="12" t="s">
        <v>47</v>
      </c>
      <c r="D70" s="1" t="s">
        <v>61</v>
      </c>
    </row>
    <row r="71" spans="1:8" x14ac:dyDescent="0.2">
      <c r="A71" s="1" t="s">
        <v>52</v>
      </c>
      <c r="B71" s="17">
        <f>FV(B68/100,B69,B70,B67)</f>
        <v>103663.71992839432</v>
      </c>
      <c r="C71" s="12" t="s">
        <v>50</v>
      </c>
      <c r="D71" s="13" t="s">
        <v>51</v>
      </c>
    </row>
    <row r="73" spans="1:8" x14ac:dyDescent="0.2">
      <c r="A73" s="11" t="s">
        <v>62</v>
      </c>
      <c r="B73" s="11"/>
      <c r="C73" s="11"/>
      <c r="D73" s="11"/>
      <c r="E73" s="11"/>
      <c r="F73" s="11"/>
      <c r="G73" s="11"/>
      <c r="H73" s="11"/>
    </row>
    <row r="75" spans="1:8" x14ac:dyDescent="0.2">
      <c r="A75" s="1" t="s">
        <v>63</v>
      </c>
    </row>
    <row r="76" spans="1:8" x14ac:dyDescent="0.2">
      <c r="A76" s="1" t="s">
        <v>64</v>
      </c>
    </row>
    <row r="77" spans="1:8" x14ac:dyDescent="0.2">
      <c r="A77" s="1" t="s">
        <v>65</v>
      </c>
    </row>
    <row r="78" spans="1:8" x14ac:dyDescent="0.2">
      <c r="A78" s="1" t="s">
        <v>66</v>
      </c>
    </row>
    <row r="81" spans="1:12" x14ac:dyDescent="0.2">
      <c r="C81" s="1" t="s">
        <v>67</v>
      </c>
    </row>
    <row r="84" spans="1:12" x14ac:dyDescent="0.2">
      <c r="C84" s="1" t="s">
        <v>68</v>
      </c>
      <c r="F84" s="1" t="s">
        <v>70</v>
      </c>
    </row>
    <row r="85" spans="1:12" x14ac:dyDescent="0.2">
      <c r="C85" s="1" t="s">
        <v>69</v>
      </c>
      <c r="F85" s="1" t="s">
        <v>1593</v>
      </c>
    </row>
    <row r="88" spans="1:12" x14ac:dyDescent="0.2">
      <c r="F88" s="12">
        <v>0.5</v>
      </c>
      <c r="G88" s="1" t="s">
        <v>42</v>
      </c>
      <c r="H88" s="14" t="s">
        <v>73</v>
      </c>
    </row>
    <row r="89" spans="1:12" x14ac:dyDescent="0.2">
      <c r="F89" s="12">
        <f>5*12</f>
        <v>60</v>
      </c>
      <c r="G89" s="1" t="s">
        <v>45</v>
      </c>
      <c r="H89" s="14" t="s">
        <v>74</v>
      </c>
      <c r="L89" s="1" t="s">
        <v>1594</v>
      </c>
    </row>
    <row r="90" spans="1:12" x14ac:dyDescent="0.2">
      <c r="F90" s="12">
        <v>0</v>
      </c>
      <c r="G90" s="1" t="s">
        <v>39</v>
      </c>
      <c r="H90" s="1" t="s">
        <v>71</v>
      </c>
    </row>
    <row r="91" spans="1:12" x14ac:dyDescent="0.2">
      <c r="F91" s="12">
        <v>-100</v>
      </c>
      <c r="G91" s="1" t="s">
        <v>47</v>
      </c>
      <c r="H91" s="1" t="s">
        <v>72</v>
      </c>
    </row>
    <row r="92" spans="1:12" x14ac:dyDescent="0.2">
      <c r="F92" s="15">
        <f>FV(F88/100,F89,F91,F90)</f>
        <v>6977.0030509860744</v>
      </c>
      <c r="G92" s="1" t="s">
        <v>50</v>
      </c>
      <c r="H92" s="13" t="s">
        <v>51</v>
      </c>
    </row>
    <row r="95" spans="1:12" x14ac:dyDescent="0.2">
      <c r="A95" s="11" t="s">
        <v>75</v>
      </c>
      <c r="B95" s="11"/>
      <c r="C95" s="11"/>
      <c r="D95" s="11"/>
      <c r="E95" s="11"/>
      <c r="F95" s="11"/>
      <c r="G95" s="11"/>
      <c r="H95" s="11"/>
    </row>
    <row r="96" spans="1:12" x14ac:dyDescent="0.2">
      <c r="A96" s="1" t="s">
        <v>76</v>
      </c>
    </row>
    <row r="97" spans="1:9" x14ac:dyDescent="0.2">
      <c r="A97" s="1" t="s">
        <v>77</v>
      </c>
    </row>
    <row r="99" spans="1:9" x14ac:dyDescent="0.2">
      <c r="F99" s="73">
        <v>1.5</v>
      </c>
      <c r="G99" s="1" t="s">
        <v>42</v>
      </c>
      <c r="H99" s="1" t="s">
        <v>78</v>
      </c>
    </row>
    <row r="100" spans="1:9" x14ac:dyDescent="0.2">
      <c r="F100" s="73">
        <f>10*4</f>
        <v>40</v>
      </c>
      <c r="G100" s="1" t="s">
        <v>45</v>
      </c>
      <c r="H100" s="1" t="s">
        <v>79</v>
      </c>
    </row>
    <row r="101" spans="1:9" x14ac:dyDescent="0.2">
      <c r="F101" s="73">
        <v>0</v>
      </c>
      <c r="G101" s="1" t="s">
        <v>39</v>
      </c>
      <c r="H101" s="1" t="s">
        <v>71</v>
      </c>
    </row>
    <row r="102" spans="1:9" x14ac:dyDescent="0.2">
      <c r="F102" s="73">
        <v>-400</v>
      </c>
      <c r="G102" s="1" t="s">
        <v>47</v>
      </c>
      <c r="H102" s="1" t="s">
        <v>80</v>
      </c>
    </row>
    <row r="103" spans="1:9" x14ac:dyDescent="0.2">
      <c r="F103" s="198">
        <f>FV(F99/100,F100,F102,F101)</f>
        <v>21707.157564505105</v>
      </c>
      <c r="G103" s="1" t="s">
        <v>50</v>
      </c>
      <c r="H103" s="13" t="s">
        <v>51</v>
      </c>
    </row>
    <row r="105" spans="1:9" x14ac:dyDescent="0.2">
      <c r="A105" s="11" t="s">
        <v>81</v>
      </c>
      <c r="B105" s="11"/>
      <c r="C105" s="11"/>
      <c r="D105" s="11"/>
      <c r="E105" s="11"/>
      <c r="F105" s="11"/>
      <c r="G105" s="11"/>
      <c r="H105" s="11"/>
    </row>
    <row r="107" spans="1:9" x14ac:dyDescent="0.2">
      <c r="A107" s="1" t="s">
        <v>87</v>
      </c>
    </row>
    <row r="108" spans="1:9" x14ac:dyDescent="0.2">
      <c r="A108" s="1" t="s">
        <v>82</v>
      </c>
    </row>
    <row r="109" spans="1:9" x14ac:dyDescent="0.2">
      <c r="A109" s="1" t="s">
        <v>88</v>
      </c>
    </row>
    <row r="110" spans="1:9" ht="17" thickBot="1" x14ac:dyDescent="0.25"/>
    <row r="111" spans="1:9" x14ac:dyDescent="0.2">
      <c r="A111" s="2" t="s">
        <v>27</v>
      </c>
      <c r="G111" s="30" t="s">
        <v>1595</v>
      </c>
      <c r="H111" s="31"/>
      <c r="I111" s="23"/>
    </row>
    <row r="112" spans="1:9" x14ac:dyDescent="0.2">
      <c r="G112" s="24" t="s">
        <v>1596</v>
      </c>
      <c r="I112" s="25"/>
    </row>
    <row r="113" spans="1:9" ht="17" thickBot="1" x14ac:dyDescent="0.25">
      <c r="A113" s="1" t="s">
        <v>83</v>
      </c>
      <c r="G113" s="26" t="s">
        <v>1597</v>
      </c>
      <c r="H113" s="27"/>
      <c r="I113" s="28"/>
    </row>
    <row r="114" spans="1:9" x14ac:dyDescent="0.2">
      <c r="A114" s="1" t="s">
        <v>84</v>
      </c>
    </row>
    <row r="115" spans="1:9" x14ac:dyDescent="0.2">
      <c r="A115" s="1" t="s">
        <v>85</v>
      </c>
    </row>
    <row r="117" spans="1:9" x14ac:dyDescent="0.2">
      <c r="A117" s="2" t="s">
        <v>86</v>
      </c>
    </row>
    <row r="119" spans="1:9" x14ac:dyDescent="0.2">
      <c r="F119" s="12">
        <v>0.4</v>
      </c>
      <c r="G119" s="1" t="s">
        <v>42</v>
      </c>
      <c r="H119" s="1" t="s">
        <v>1598</v>
      </c>
    </row>
    <row r="120" spans="1:9" x14ac:dyDescent="0.2">
      <c r="E120" s="1" t="s">
        <v>1600</v>
      </c>
      <c r="F120" s="12">
        <f>4*12</f>
        <v>48</v>
      </c>
      <c r="G120" s="1" t="s">
        <v>45</v>
      </c>
      <c r="H120" s="1" t="s">
        <v>1599</v>
      </c>
    </row>
    <row r="121" spans="1:9" x14ac:dyDescent="0.2">
      <c r="F121" s="12">
        <v>-25000</v>
      </c>
      <c r="G121" s="1" t="s">
        <v>39</v>
      </c>
      <c r="H121" s="1" t="s">
        <v>1601</v>
      </c>
    </row>
    <row r="122" spans="1:9" x14ac:dyDescent="0.2">
      <c r="F122" s="12">
        <v>-500</v>
      </c>
      <c r="G122" s="1" t="s">
        <v>47</v>
      </c>
      <c r="H122" s="1" t="s">
        <v>1602</v>
      </c>
    </row>
    <row r="123" spans="1:9" x14ac:dyDescent="0.2">
      <c r="F123" s="15">
        <f>FV(F119/100,F120,F122,F121)</f>
        <v>56680.984206238849</v>
      </c>
      <c r="G123" s="1" t="s">
        <v>50</v>
      </c>
      <c r="H123" s="13" t="s">
        <v>51</v>
      </c>
    </row>
    <row r="125" spans="1:9" x14ac:dyDescent="0.2">
      <c r="A125" s="11" t="s">
        <v>89</v>
      </c>
      <c r="B125" s="11"/>
      <c r="C125" s="11"/>
      <c r="D125" s="11"/>
      <c r="E125" s="11"/>
      <c r="F125" s="11"/>
      <c r="G125" s="11"/>
      <c r="H125" s="11"/>
    </row>
    <row r="127" spans="1:9" x14ac:dyDescent="0.2">
      <c r="A127" s="1" t="s">
        <v>90</v>
      </c>
    </row>
    <row r="128" spans="1:9" x14ac:dyDescent="0.2">
      <c r="A128" s="1" t="s">
        <v>91</v>
      </c>
    </row>
    <row r="129" spans="1:7" x14ac:dyDescent="0.2">
      <c r="A129" s="1" t="s">
        <v>92</v>
      </c>
    </row>
    <row r="130" spans="1:7" x14ac:dyDescent="0.2">
      <c r="A130" s="1" t="s">
        <v>93</v>
      </c>
    </row>
    <row r="132" spans="1:7" x14ac:dyDescent="0.2">
      <c r="A132" s="1" t="s">
        <v>27</v>
      </c>
    </row>
    <row r="134" spans="1:7" x14ac:dyDescent="0.2">
      <c r="A134" s="1" t="s">
        <v>94</v>
      </c>
    </row>
    <row r="135" spans="1:7" x14ac:dyDescent="0.2">
      <c r="A135" s="1" t="s">
        <v>95</v>
      </c>
    </row>
    <row r="137" spans="1:7" x14ac:dyDescent="0.2">
      <c r="A137" s="1" t="s">
        <v>97</v>
      </c>
      <c r="D137" s="73">
        <v>0.3</v>
      </c>
      <c r="E137" s="1" t="s">
        <v>42</v>
      </c>
    </row>
    <row r="138" spans="1:7" x14ac:dyDescent="0.2">
      <c r="A138" s="1" t="s">
        <v>96</v>
      </c>
      <c r="D138" s="17">
        <f>NPER(D137/100,D140,D139,D141)</f>
        <v>263.21315198238585</v>
      </c>
      <c r="E138" s="1" t="s">
        <v>45</v>
      </c>
      <c r="F138" s="13" t="s">
        <v>51</v>
      </c>
    </row>
    <row r="139" spans="1:7" x14ac:dyDescent="0.2">
      <c r="A139" s="1" t="s">
        <v>98</v>
      </c>
      <c r="D139" s="73">
        <v>0</v>
      </c>
      <c r="E139" s="1" t="s">
        <v>39</v>
      </c>
    </row>
    <row r="140" spans="1:7" x14ac:dyDescent="0.2">
      <c r="A140" s="1" t="s">
        <v>99</v>
      </c>
      <c r="D140" s="73">
        <v>-1000</v>
      </c>
      <c r="E140" s="1" t="s">
        <v>47</v>
      </c>
    </row>
    <row r="141" spans="1:7" x14ac:dyDescent="0.2">
      <c r="A141" s="1" t="s">
        <v>100</v>
      </c>
      <c r="D141" s="73">
        <v>400000</v>
      </c>
      <c r="E141" s="1" t="s">
        <v>50</v>
      </c>
    </row>
    <row r="143" spans="1:7" x14ac:dyDescent="0.2">
      <c r="A143" s="1" t="s">
        <v>101</v>
      </c>
    </row>
    <row r="144" spans="1:7" x14ac:dyDescent="0.2">
      <c r="A144" s="1" t="s">
        <v>102</v>
      </c>
      <c r="E144" s="16">
        <f>263/12</f>
        <v>21.916666666666668</v>
      </c>
      <c r="G144" s="1" t="s">
        <v>103</v>
      </c>
    </row>
    <row r="146" spans="1:8" x14ac:dyDescent="0.2">
      <c r="A146" s="1" t="s">
        <v>104</v>
      </c>
    </row>
    <row r="147" spans="1:8" x14ac:dyDescent="0.2">
      <c r="A147" s="1" t="s">
        <v>105</v>
      </c>
    </row>
    <row r="149" spans="1:8" x14ac:dyDescent="0.2">
      <c r="A149" s="11" t="s">
        <v>106</v>
      </c>
      <c r="B149" s="11"/>
      <c r="C149" s="11"/>
      <c r="D149" s="11"/>
      <c r="E149" s="11"/>
      <c r="F149" s="11"/>
      <c r="G149" s="11"/>
      <c r="H149" s="11"/>
    </row>
    <row r="150" spans="1:8" x14ac:dyDescent="0.2">
      <c r="A150" s="1" t="s">
        <v>107</v>
      </c>
    </row>
    <row r="151" spans="1:8" x14ac:dyDescent="0.2">
      <c r="A151" s="1" t="s">
        <v>108</v>
      </c>
    </row>
    <row r="152" spans="1:8" x14ac:dyDescent="0.2">
      <c r="A152" s="1" t="s">
        <v>109</v>
      </c>
    </row>
    <row r="154" spans="1:8" x14ac:dyDescent="0.2">
      <c r="A154" s="1" t="s">
        <v>110</v>
      </c>
      <c r="D154" s="73">
        <v>0.4</v>
      </c>
      <c r="E154" s="1" t="s">
        <v>42</v>
      </c>
    </row>
    <row r="155" spans="1:8" x14ac:dyDescent="0.2">
      <c r="A155" s="1" t="s">
        <v>114</v>
      </c>
      <c r="D155" s="17">
        <f>NPER(D154/100,D157,D156,D158)</f>
        <v>194.81473571359967</v>
      </c>
      <c r="E155" s="1" t="s">
        <v>45</v>
      </c>
      <c r="F155" s="13" t="s">
        <v>51</v>
      </c>
    </row>
    <row r="156" spans="1:8" x14ac:dyDescent="0.2">
      <c r="A156" s="1" t="s">
        <v>111</v>
      </c>
      <c r="D156" s="73">
        <v>-900000</v>
      </c>
      <c r="E156" s="1" t="s">
        <v>39</v>
      </c>
    </row>
    <row r="157" spans="1:8" x14ac:dyDescent="0.2">
      <c r="A157" s="1" t="s">
        <v>112</v>
      </c>
      <c r="D157" s="73">
        <v>-10000</v>
      </c>
      <c r="E157" s="1" t="s">
        <v>47</v>
      </c>
    </row>
    <row r="158" spans="1:8" x14ac:dyDescent="0.2">
      <c r="A158" s="1" t="s">
        <v>113</v>
      </c>
      <c r="D158" s="73">
        <v>4900000</v>
      </c>
      <c r="E158" s="1" t="s">
        <v>50</v>
      </c>
    </row>
    <row r="160" spans="1:8" x14ac:dyDescent="0.2">
      <c r="A160" s="1" t="s">
        <v>115</v>
      </c>
    </row>
    <row r="162" spans="1:8" x14ac:dyDescent="0.2">
      <c r="A162" s="11" t="s">
        <v>123</v>
      </c>
      <c r="B162" s="11"/>
      <c r="C162" s="11"/>
      <c r="D162" s="11"/>
      <c r="E162" s="11"/>
      <c r="F162" s="11"/>
      <c r="G162" s="11"/>
      <c r="H162" s="11"/>
    </row>
    <row r="163" spans="1:8" x14ac:dyDescent="0.2">
      <c r="A163" s="1" t="s">
        <v>116</v>
      </c>
    </row>
    <row r="164" spans="1:8" x14ac:dyDescent="0.2">
      <c r="A164" s="1" t="s">
        <v>117</v>
      </c>
    </row>
    <row r="165" spans="1:8" x14ac:dyDescent="0.2">
      <c r="A165" s="1" t="s">
        <v>118</v>
      </c>
    </row>
    <row r="167" spans="1:8" x14ac:dyDescent="0.2">
      <c r="A167" s="1" t="s">
        <v>122</v>
      </c>
      <c r="D167" s="19">
        <f>RATE(D168,D170,D169,D171)*100</f>
        <v>2.0156285042577786</v>
      </c>
      <c r="E167" s="1" t="s">
        <v>42</v>
      </c>
      <c r="F167" s="13" t="s">
        <v>51</v>
      </c>
      <c r="H167" s="1" t="s">
        <v>1603</v>
      </c>
    </row>
    <row r="168" spans="1:8" x14ac:dyDescent="0.2">
      <c r="A168" s="1" t="s">
        <v>119</v>
      </c>
      <c r="D168" s="73">
        <v>12</v>
      </c>
      <c r="E168" s="1" t="s">
        <v>45</v>
      </c>
      <c r="H168" s="1" t="s">
        <v>1604</v>
      </c>
    </row>
    <row r="169" spans="1:8" x14ac:dyDescent="0.2">
      <c r="A169" s="1" t="s">
        <v>111</v>
      </c>
      <c r="D169" s="73">
        <v>-280000</v>
      </c>
      <c r="E169" s="1" t="s">
        <v>39</v>
      </c>
      <c r="H169" s="1" t="s">
        <v>1605</v>
      </c>
    </row>
    <row r="170" spans="1:8" x14ac:dyDescent="0.2">
      <c r="A170" s="1" t="s">
        <v>120</v>
      </c>
      <c r="D170" s="73">
        <v>-10000</v>
      </c>
      <c r="E170" s="1" t="s">
        <v>47</v>
      </c>
    </row>
    <row r="171" spans="1:8" x14ac:dyDescent="0.2">
      <c r="A171" s="1" t="s">
        <v>121</v>
      </c>
      <c r="D171" s="84">
        <v>490000</v>
      </c>
      <c r="E171" s="1" t="s">
        <v>50</v>
      </c>
    </row>
    <row r="173" spans="1:8" x14ac:dyDescent="0.2">
      <c r="A173" s="11" t="s">
        <v>124</v>
      </c>
      <c r="B173" s="11"/>
      <c r="C173" s="11"/>
      <c r="D173" s="11"/>
      <c r="E173" s="11"/>
      <c r="F173" s="11"/>
      <c r="G173" s="11"/>
      <c r="H173" s="11"/>
    </row>
    <row r="174" spans="1:8" x14ac:dyDescent="0.2">
      <c r="A174" s="1" t="s">
        <v>125</v>
      </c>
    </row>
    <row r="175" spans="1:8" x14ac:dyDescent="0.2">
      <c r="A175" s="1" t="s">
        <v>126</v>
      </c>
    </row>
    <row r="176" spans="1:8" x14ac:dyDescent="0.2">
      <c r="A176" s="1" t="s">
        <v>127</v>
      </c>
    </row>
    <row r="178" spans="1:8" x14ac:dyDescent="0.2">
      <c r="A178" s="1" t="s">
        <v>132</v>
      </c>
      <c r="E178" s="199">
        <f>RATE(E179,E181,E180,E182)*100</f>
        <v>6.5388913930176153</v>
      </c>
      <c r="F178" s="1" t="s">
        <v>42</v>
      </c>
      <c r="G178" s="13" t="s">
        <v>51</v>
      </c>
    </row>
    <row r="179" spans="1:8" x14ac:dyDescent="0.2">
      <c r="A179" s="1" t="s">
        <v>128</v>
      </c>
      <c r="E179" s="73">
        <v>12</v>
      </c>
      <c r="F179" s="1" t="s">
        <v>45</v>
      </c>
    </row>
    <row r="180" spans="1:8" x14ac:dyDescent="0.2">
      <c r="A180" s="1" t="s">
        <v>129</v>
      </c>
      <c r="E180" s="73">
        <v>-80000</v>
      </c>
      <c r="F180" s="1" t="s">
        <v>39</v>
      </c>
    </row>
    <row r="181" spans="1:8" x14ac:dyDescent="0.2">
      <c r="A181" s="1" t="s">
        <v>130</v>
      </c>
      <c r="E181" s="73">
        <v>-12000</v>
      </c>
      <c r="F181" s="1" t="s">
        <v>47</v>
      </c>
    </row>
    <row r="182" spans="1:8" x14ac:dyDescent="0.2">
      <c r="A182" s="1" t="s">
        <v>131</v>
      </c>
      <c r="E182" s="84">
        <v>380000</v>
      </c>
      <c r="F182" s="1" t="s">
        <v>50</v>
      </c>
    </row>
    <row r="184" spans="1:8" x14ac:dyDescent="0.2">
      <c r="A184" s="2" t="s">
        <v>133</v>
      </c>
    </row>
    <row r="186" spans="1:8" x14ac:dyDescent="0.2">
      <c r="A186" s="1" t="s">
        <v>134</v>
      </c>
    </row>
    <row r="187" spans="1:8" x14ac:dyDescent="0.2">
      <c r="A187" s="1" t="s">
        <v>135</v>
      </c>
    </row>
    <row r="189" spans="1:8" x14ac:dyDescent="0.2">
      <c r="A189" s="2" t="s">
        <v>1610</v>
      </c>
      <c r="H189" s="2" t="s">
        <v>1606</v>
      </c>
    </row>
    <row r="190" spans="1:8" x14ac:dyDescent="0.2">
      <c r="H190" s="1" t="s">
        <v>1607</v>
      </c>
    </row>
    <row r="191" spans="1:8" x14ac:dyDescent="0.2">
      <c r="B191" s="1" t="s">
        <v>1611</v>
      </c>
      <c r="E191" s="201" t="s">
        <v>137</v>
      </c>
      <c r="F191" s="200" t="s">
        <v>136</v>
      </c>
      <c r="H191" s="1" t="s">
        <v>1608</v>
      </c>
    </row>
    <row r="192" spans="1:8" x14ac:dyDescent="0.2">
      <c r="H192" s="1" t="s">
        <v>1609</v>
      </c>
    </row>
    <row r="193" spans="1:8" x14ac:dyDescent="0.2">
      <c r="A193" s="209">
        <f>(1+6.539%)^12-1</f>
        <v>1.1384711369525191</v>
      </c>
      <c r="B193" s="208" t="s">
        <v>138</v>
      </c>
      <c r="C193" s="208">
        <f>(1+6.539%)^12-1</f>
        <v>1.1384711369525191</v>
      </c>
    </row>
    <row r="194" spans="1:8" x14ac:dyDescent="0.2">
      <c r="A194" s="209"/>
      <c r="B194" s="208"/>
      <c r="C194" s="208"/>
    </row>
    <row r="196" spans="1:8" x14ac:dyDescent="0.2">
      <c r="A196" s="2" t="s">
        <v>139</v>
      </c>
    </row>
    <row r="198" spans="1:8" x14ac:dyDescent="0.2">
      <c r="A198" s="11" t="s">
        <v>140</v>
      </c>
      <c r="B198" s="11"/>
      <c r="C198" s="11"/>
      <c r="D198" s="11"/>
      <c r="E198" s="11"/>
      <c r="F198" s="11"/>
      <c r="G198" s="11"/>
      <c r="H198" s="11"/>
    </row>
    <row r="199" spans="1:8" x14ac:dyDescent="0.2">
      <c r="A199" s="1" t="s">
        <v>141</v>
      </c>
    </row>
    <row r="200" spans="1:8" x14ac:dyDescent="0.2">
      <c r="A200" s="1" t="s">
        <v>142</v>
      </c>
    </row>
    <row r="201" spans="1:8" x14ac:dyDescent="0.2">
      <c r="A201" s="1" t="s">
        <v>143</v>
      </c>
    </row>
    <row r="202" spans="1:8" x14ac:dyDescent="0.2">
      <c r="A202" s="1" t="s">
        <v>144</v>
      </c>
    </row>
    <row r="204" spans="1:8" x14ac:dyDescent="0.2">
      <c r="A204" s="1" t="s">
        <v>145</v>
      </c>
    </row>
    <row r="206" spans="1:8" x14ac:dyDescent="0.2">
      <c r="A206" s="1" t="s">
        <v>146</v>
      </c>
    </row>
    <row r="208" spans="1:8" x14ac:dyDescent="0.2">
      <c r="A208" s="1" t="s">
        <v>150</v>
      </c>
      <c r="E208" s="199">
        <f>RATE(E209,E211,E210,E212)*100</f>
        <v>2.3975489534758179</v>
      </c>
      <c r="F208" s="1" t="s">
        <v>42</v>
      </c>
      <c r="G208" s="13" t="s">
        <v>51</v>
      </c>
    </row>
    <row r="209" spans="1:6" x14ac:dyDescent="0.2">
      <c r="A209" s="1" t="s">
        <v>148</v>
      </c>
      <c r="D209" s="1" t="s">
        <v>1612</v>
      </c>
      <c r="E209" s="73">
        <f>8*4</f>
        <v>32</v>
      </c>
      <c r="F209" s="1" t="s">
        <v>45</v>
      </c>
    </row>
    <row r="210" spans="1:6" x14ac:dyDescent="0.2">
      <c r="A210" s="1" t="s">
        <v>129</v>
      </c>
      <c r="E210" s="73">
        <v>-20000</v>
      </c>
      <c r="F210" s="1" t="s">
        <v>39</v>
      </c>
    </row>
    <row r="211" spans="1:6" x14ac:dyDescent="0.2">
      <c r="A211" s="1" t="s">
        <v>149</v>
      </c>
      <c r="E211" s="73">
        <v>-1000</v>
      </c>
      <c r="F211" s="1" t="s">
        <v>47</v>
      </c>
    </row>
    <row r="212" spans="1:6" x14ac:dyDescent="0.2">
      <c r="A212" s="1" t="s">
        <v>131</v>
      </c>
      <c r="E212" s="84">
        <v>90000</v>
      </c>
      <c r="F212" s="1" t="s">
        <v>50</v>
      </c>
    </row>
    <row r="215" spans="1:6" x14ac:dyDescent="0.2">
      <c r="A215" s="1" t="s">
        <v>147</v>
      </c>
    </row>
    <row r="217" spans="1:6" x14ac:dyDescent="0.2">
      <c r="A217" s="1" t="s">
        <v>151</v>
      </c>
    </row>
    <row r="220" spans="1:6" x14ac:dyDescent="0.2">
      <c r="A220" s="1" t="s">
        <v>152</v>
      </c>
    </row>
    <row r="221" spans="1:6" x14ac:dyDescent="0.2">
      <c r="B221" s="20">
        <f>(1+2.398%)^4-1</f>
        <v>9.9425730946629098E-2</v>
      </c>
      <c r="C221" s="1" t="s">
        <v>153</v>
      </c>
    </row>
    <row r="223" spans="1:6" x14ac:dyDescent="0.2">
      <c r="A223" s="1" t="s">
        <v>154</v>
      </c>
    </row>
    <row r="225" spans="1:8" x14ac:dyDescent="0.2">
      <c r="A225" s="11" t="s">
        <v>1613</v>
      </c>
      <c r="B225" s="202"/>
      <c r="C225" s="202"/>
      <c r="D225" s="202"/>
      <c r="E225" s="202"/>
      <c r="F225" s="202"/>
      <c r="G225" s="202"/>
      <c r="H225" s="202"/>
    </row>
    <row r="226" spans="1:8" x14ac:dyDescent="0.2">
      <c r="A226" s="1" t="s">
        <v>1614</v>
      </c>
    </row>
    <row r="227" spans="1:8" x14ac:dyDescent="0.2">
      <c r="A227" s="1" t="s">
        <v>1615</v>
      </c>
    </row>
    <row r="228" spans="1:8" x14ac:dyDescent="0.2">
      <c r="A228" s="1" t="s">
        <v>1616</v>
      </c>
    </row>
    <row r="229" spans="1:8" x14ac:dyDescent="0.2">
      <c r="A229" s="1" t="s">
        <v>1617</v>
      </c>
    </row>
    <row r="230" spans="1:8" x14ac:dyDescent="0.2">
      <c r="A230" s="1" t="s">
        <v>1618</v>
      </c>
    </row>
    <row r="231" spans="1:8" x14ac:dyDescent="0.2">
      <c r="A231" s="1" t="s">
        <v>1619</v>
      </c>
    </row>
    <row r="234" spans="1:8" x14ac:dyDescent="0.2">
      <c r="C234" s="204">
        <f>A241*100</f>
        <v>0.40741237836483535</v>
      </c>
      <c r="D234" s="1" t="s">
        <v>42</v>
      </c>
      <c r="E234" s="1" t="s">
        <v>1623</v>
      </c>
    </row>
    <row r="235" spans="1:8" x14ac:dyDescent="0.2">
      <c r="C235" s="1">
        <f>10*12</f>
        <v>120</v>
      </c>
      <c r="D235" s="1" t="s">
        <v>45</v>
      </c>
      <c r="E235" s="1" t="s">
        <v>1622</v>
      </c>
    </row>
    <row r="236" spans="1:8" x14ac:dyDescent="0.2">
      <c r="C236" s="1">
        <v>-400000</v>
      </c>
      <c r="D236" s="1" t="s">
        <v>39</v>
      </c>
      <c r="E236" s="1" t="s">
        <v>1621</v>
      </c>
    </row>
    <row r="237" spans="1:8" x14ac:dyDescent="0.2">
      <c r="C237" s="206">
        <f>PMT(C234/100,C235,C236,C238)</f>
        <v>-28170.20662589727</v>
      </c>
      <c r="D237" s="1" t="s">
        <v>47</v>
      </c>
      <c r="E237" s="1" t="s">
        <v>818</v>
      </c>
    </row>
    <row r="238" spans="1:8" x14ac:dyDescent="0.2">
      <c r="C238" s="89">
        <v>5000000</v>
      </c>
      <c r="D238" s="1" t="s">
        <v>50</v>
      </c>
      <c r="E238" s="1" t="s">
        <v>1620</v>
      </c>
    </row>
    <row r="240" spans="1:8" x14ac:dyDescent="0.2">
      <c r="A240" s="1" t="s">
        <v>1624</v>
      </c>
    </row>
    <row r="241" spans="1:8" x14ac:dyDescent="0.2">
      <c r="A241" s="203">
        <f>C241</f>
        <v>4.0741237836483535E-3</v>
      </c>
      <c r="B241" s="1" t="s">
        <v>1627</v>
      </c>
      <c r="C241" s="205">
        <f>(1+5%)^(1/12)-1</f>
        <v>4.0741237836483535E-3</v>
      </c>
    </row>
    <row r="243" spans="1:8" x14ac:dyDescent="0.2">
      <c r="A243" s="1" t="s">
        <v>1625</v>
      </c>
    </row>
    <row r="244" spans="1:8" x14ac:dyDescent="0.2">
      <c r="A244" s="1" t="s">
        <v>1626</v>
      </c>
    </row>
    <row r="245" spans="1:8" ht="17" thickBot="1" x14ac:dyDescent="0.25"/>
    <row r="246" spans="1:8" x14ac:dyDescent="0.2">
      <c r="A246" s="21" t="s">
        <v>155</v>
      </c>
      <c r="B246" s="22"/>
      <c r="C246" s="22"/>
      <c r="D246" s="22"/>
      <c r="E246" s="22"/>
      <c r="F246" s="22"/>
      <c r="G246" s="22"/>
      <c r="H246" s="23"/>
    </row>
    <row r="247" spans="1:8" x14ac:dyDescent="0.2">
      <c r="A247" s="24"/>
      <c r="H247" s="25"/>
    </row>
    <row r="248" spans="1:8" x14ac:dyDescent="0.2">
      <c r="A248" s="24" t="s">
        <v>156</v>
      </c>
      <c r="H248" s="25"/>
    </row>
    <row r="249" spans="1:8" x14ac:dyDescent="0.2">
      <c r="A249" s="24" t="s">
        <v>157</v>
      </c>
      <c r="H249" s="25"/>
    </row>
    <row r="250" spans="1:8" x14ac:dyDescent="0.2">
      <c r="A250" s="24" t="s">
        <v>158</v>
      </c>
      <c r="H250" s="25"/>
    </row>
    <row r="251" spans="1:8" x14ac:dyDescent="0.2">
      <c r="A251" s="24"/>
      <c r="H251" s="25"/>
    </row>
    <row r="252" spans="1:8" x14ac:dyDescent="0.2">
      <c r="A252" s="24" t="s">
        <v>159</v>
      </c>
      <c r="H252" s="25"/>
    </row>
    <row r="253" spans="1:8" x14ac:dyDescent="0.2">
      <c r="A253" s="24" t="s">
        <v>160</v>
      </c>
      <c r="H253" s="25"/>
    </row>
    <row r="254" spans="1:8" x14ac:dyDescent="0.2">
      <c r="A254" s="24"/>
      <c r="H254" s="25"/>
    </row>
    <row r="255" spans="1:8" x14ac:dyDescent="0.2">
      <c r="A255" s="24" t="s">
        <v>161</v>
      </c>
      <c r="H255" s="25"/>
    </row>
    <row r="256" spans="1:8" x14ac:dyDescent="0.2">
      <c r="A256" s="24" t="s">
        <v>162</v>
      </c>
      <c r="H256" s="25"/>
    </row>
    <row r="257" spans="1:8" ht="17" thickBot="1" x14ac:dyDescent="0.25">
      <c r="A257" s="26"/>
      <c r="B257" s="27"/>
      <c r="C257" s="27"/>
      <c r="D257" s="27"/>
      <c r="E257" s="27"/>
      <c r="F257" s="27"/>
      <c r="G257" s="27"/>
      <c r="H257" s="28"/>
    </row>
    <row r="259" spans="1:8" x14ac:dyDescent="0.2">
      <c r="A259" s="2" t="s">
        <v>163</v>
      </c>
    </row>
  </sheetData>
  <mergeCells count="4">
    <mergeCell ref="A1:H1"/>
    <mergeCell ref="C193:C194"/>
    <mergeCell ref="B193:B194"/>
    <mergeCell ref="A193:A19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375EC-4D62-ED41-8F42-BC00434F8227}">
  <dimension ref="A1:K223"/>
  <sheetViews>
    <sheetView rightToLeft="1" topLeftCell="A207" zoomScale="280" zoomScaleNormal="280" workbookViewId="0">
      <selection sqref="A1:XFD1"/>
    </sheetView>
  </sheetViews>
  <sheetFormatPr baseColWidth="10" defaultRowHeight="16" x14ac:dyDescent="0.2"/>
  <cols>
    <col min="1" max="7" width="10.83203125" style="1"/>
    <col min="8" max="8" width="9.6640625" style="1" customWidth="1"/>
    <col min="9" max="16384" width="10.83203125" style="1"/>
  </cols>
  <sheetData>
    <row r="1" spans="1:8" x14ac:dyDescent="0.2">
      <c r="A1" s="29" t="s">
        <v>1262</v>
      </c>
      <c r="B1" s="29"/>
      <c r="C1" s="29"/>
      <c r="D1" s="29"/>
      <c r="E1" s="29"/>
      <c r="F1" s="29"/>
      <c r="G1" s="29"/>
      <c r="H1" s="143">
        <v>45296</v>
      </c>
    </row>
    <row r="2" spans="1:8" ht="17" thickBot="1" x14ac:dyDescent="0.25"/>
    <row r="3" spans="1:8" ht="17" thickBot="1" x14ac:dyDescent="0.25">
      <c r="A3" s="106" t="s">
        <v>1125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1126</v>
      </c>
      <c r="B5" s="1" t="s">
        <v>1258</v>
      </c>
      <c r="F5" s="90">
        <v>45655</v>
      </c>
      <c r="G5" s="1" t="s">
        <v>1260</v>
      </c>
    </row>
    <row r="6" spans="1:8" x14ac:dyDescent="0.2">
      <c r="A6" s="1" t="s">
        <v>1127</v>
      </c>
      <c r="B6" s="1" t="s">
        <v>1259</v>
      </c>
      <c r="F6" s="90">
        <v>45662</v>
      </c>
      <c r="G6" s="1" t="s">
        <v>1261</v>
      </c>
    </row>
    <row r="7" spans="1:8" x14ac:dyDescent="0.2">
      <c r="A7" s="1" t="s">
        <v>1129</v>
      </c>
      <c r="B7" s="1" t="s">
        <v>1137</v>
      </c>
      <c r="F7" s="90">
        <v>45669</v>
      </c>
      <c r="G7" s="1" t="s">
        <v>1130</v>
      </c>
    </row>
    <row r="8" spans="1:8" x14ac:dyDescent="0.2">
      <c r="A8" s="1" t="s">
        <v>1131</v>
      </c>
      <c r="B8" s="1" t="s">
        <v>1132</v>
      </c>
      <c r="F8" s="90">
        <v>45690</v>
      </c>
    </row>
    <row r="10" spans="1:8" ht="31" x14ac:dyDescent="0.35">
      <c r="A10" s="160" t="s">
        <v>1323</v>
      </c>
    </row>
    <row r="11" spans="1:8" ht="17" thickBot="1" x14ac:dyDescent="0.25"/>
    <row r="12" spans="1:8" ht="17" thickBot="1" x14ac:dyDescent="0.25">
      <c r="A12" s="106" t="s">
        <v>1263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1264</v>
      </c>
    </row>
    <row r="14" spans="1:8" x14ac:dyDescent="0.2">
      <c r="A14" s="1" t="s">
        <v>1265</v>
      </c>
    </row>
    <row r="15" spans="1:8" x14ac:dyDescent="0.2">
      <c r="A15" s="1" t="s">
        <v>1266</v>
      </c>
    </row>
    <row r="16" spans="1:8" x14ac:dyDescent="0.2">
      <c r="A16" s="1" t="s">
        <v>1267</v>
      </c>
    </row>
    <row r="17" spans="1:8" x14ac:dyDescent="0.2">
      <c r="A17" s="1" t="s">
        <v>1268</v>
      </c>
    </row>
    <row r="18" spans="1:8" x14ac:dyDescent="0.2">
      <c r="A18" s="1" t="s">
        <v>1269</v>
      </c>
    </row>
    <row r="20" spans="1:8" x14ac:dyDescent="0.2">
      <c r="A20" s="1" t="s">
        <v>1270</v>
      </c>
    </row>
    <row r="21" spans="1:8" x14ac:dyDescent="0.2">
      <c r="A21" s="1" t="s">
        <v>1271</v>
      </c>
    </row>
    <row r="23" spans="1:8" x14ac:dyDescent="0.2">
      <c r="A23" s="1" t="s">
        <v>1272</v>
      </c>
    </row>
    <row r="24" spans="1:8" x14ac:dyDescent="0.2">
      <c r="A24" s="1" t="s">
        <v>1273</v>
      </c>
    </row>
    <row r="26" spans="1:8" x14ac:dyDescent="0.2">
      <c r="A26" s="1" t="s">
        <v>1274</v>
      </c>
    </row>
    <row r="27" spans="1:8" x14ac:dyDescent="0.2">
      <c r="A27" s="1" t="s">
        <v>1275</v>
      </c>
    </row>
    <row r="29" spans="1:8" x14ac:dyDescent="0.2">
      <c r="A29" s="2" t="s">
        <v>1276</v>
      </c>
      <c r="B29" s="2"/>
      <c r="C29" s="2"/>
      <c r="D29" s="2"/>
      <c r="E29" s="2"/>
      <c r="F29" s="2"/>
      <c r="G29" s="2"/>
      <c r="H29" s="2"/>
    </row>
    <row r="30" spans="1:8" x14ac:dyDescent="0.2">
      <c r="A30" s="2" t="s">
        <v>1277</v>
      </c>
      <c r="B30" s="2"/>
      <c r="C30" s="2"/>
      <c r="D30" s="2"/>
      <c r="E30" s="2"/>
      <c r="F30" s="2"/>
      <c r="G30" s="2"/>
      <c r="H30" s="2"/>
    </row>
    <row r="31" spans="1:8" ht="17" thickBot="1" x14ac:dyDescent="0.25"/>
    <row r="32" spans="1:8" ht="17" thickBot="1" x14ac:dyDescent="0.25">
      <c r="A32" s="3" t="s">
        <v>1278</v>
      </c>
      <c r="B32" s="4"/>
      <c r="C32" s="4"/>
      <c r="D32" s="4"/>
      <c r="E32" s="4"/>
      <c r="F32" s="4"/>
      <c r="G32" s="4"/>
      <c r="H32" s="5"/>
    </row>
    <row r="33" spans="1:7" x14ac:dyDescent="0.2">
      <c r="A33" s="1" t="s">
        <v>1279</v>
      </c>
    </row>
    <row r="34" spans="1:7" x14ac:dyDescent="0.2">
      <c r="A34" s="1" t="s">
        <v>1280</v>
      </c>
    </row>
    <row r="35" spans="1:7" x14ac:dyDescent="0.2">
      <c r="A35" s="1" t="s">
        <v>1281</v>
      </c>
    </row>
    <row r="37" spans="1:7" x14ac:dyDescent="0.2">
      <c r="A37" s="1" t="s">
        <v>1282</v>
      </c>
    </row>
    <row r="39" spans="1:7" x14ac:dyDescent="0.2">
      <c r="A39" s="1" t="s">
        <v>1283</v>
      </c>
    </row>
    <row r="40" spans="1:7" x14ac:dyDescent="0.2">
      <c r="A40" s="1" t="s">
        <v>1284</v>
      </c>
    </row>
    <row r="42" spans="1:7" x14ac:dyDescent="0.2">
      <c r="A42" s="2" t="s">
        <v>27</v>
      </c>
    </row>
    <row r="44" spans="1:7" x14ac:dyDescent="0.2">
      <c r="A44" s="1" t="s">
        <v>1285</v>
      </c>
    </row>
    <row r="45" spans="1:7" x14ac:dyDescent="0.2">
      <c r="B45" s="1" t="s">
        <v>1286</v>
      </c>
    </row>
    <row r="46" spans="1:7" x14ac:dyDescent="0.2">
      <c r="B46" s="1" t="s">
        <v>1287</v>
      </c>
    </row>
    <row r="48" spans="1:7" x14ac:dyDescent="0.2">
      <c r="A48" s="58" t="s">
        <v>1296</v>
      </c>
      <c r="B48" s="58"/>
      <c r="C48" s="58"/>
      <c r="D48" s="58"/>
      <c r="E48" s="58"/>
      <c r="F48" s="58"/>
      <c r="G48" s="58"/>
    </row>
    <row r="50" spans="1:11" x14ac:dyDescent="0.2">
      <c r="D50" s="59"/>
      <c r="E50" s="58" t="s">
        <v>1200</v>
      </c>
      <c r="H50" s="59"/>
      <c r="I50" s="58" t="s">
        <v>177</v>
      </c>
    </row>
    <row r="51" spans="1:11" x14ac:dyDescent="0.2">
      <c r="A51" s="1" t="s">
        <v>1292</v>
      </c>
      <c r="D51" s="12">
        <v>24</v>
      </c>
      <c r="E51" s="1" t="s">
        <v>1201</v>
      </c>
      <c r="H51" s="12" t="s">
        <v>179</v>
      </c>
      <c r="I51" s="1" t="s">
        <v>178</v>
      </c>
    </row>
    <row r="52" spans="1:11" x14ac:dyDescent="0.2">
      <c r="A52" s="1" t="s">
        <v>1293</v>
      </c>
      <c r="D52" s="12">
        <v>24</v>
      </c>
      <c r="E52" s="1" t="s">
        <v>1202</v>
      </c>
      <c r="H52" s="12">
        <v>60</v>
      </c>
      <c r="I52" s="1" t="s">
        <v>45</v>
      </c>
      <c r="J52" s="1" t="s">
        <v>1290</v>
      </c>
    </row>
    <row r="53" spans="1:11" x14ac:dyDescent="0.2">
      <c r="A53" s="1" t="s">
        <v>1294</v>
      </c>
      <c r="D53" s="12"/>
      <c r="H53" s="12">
        <f>((1+4%)^(1/12)-1)*100</f>
        <v>0.32737397821989145</v>
      </c>
      <c r="I53" s="1" t="s">
        <v>42</v>
      </c>
      <c r="K53" s="110" t="s">
        <v>1288</v>
      </c>
    </row>
    <row r="54" spans="1:11" x14ac:dyDescent="0.2">
      <c r="D54" s="12"/>
      <c r="H54" s="12">
        <v>50000</v>
      </c>
      <c r="I54" s="1" t="s">
        <v>39</v>
      </c>
      <c r="J54" s="1" t="s">
        <v>1289</v>
      </c>
    </row>
    <row r="55" spans="1:11" x14ac:dyDescent="0.2">
      <c r="A55" s="1" t="s">
        <v>1295</v>
      </c>
      <c r="D55" s="113">
        <v>31168</v>
      </c>
      <c r="E55" s="1" t="s">
        <v>1206</v>
      </c>
      <c r="F55" s="1" t="s">
        <v>51</v>
      </c>
      <c r="H55" s="42">
        <f>PMT(H53/100,H52,H54,H56)</f>
        <v>-919.21339700330691</v>
      </c>
      <c r="I55" s="1" t="s">
        <v>47</v>
      </c>
      <c r="J55" s="1" t="s">
        <v>51</v>
      </c>
    </row>
    <row r="56" spans="1:11" x14ac:dyDescent="0.2">
      <c r="H56" s="12">
        <v>0</v>
      </c>
      <c r="I56" s="1" t="s">
        <v>50</v>
      </c>
      <c r="J56" s="1" t="s">
        <v>1291</v>
      </c>
    </row>
    <row r="57" spans="1:11" x14ac:dyDescent="0.2">
      <c r="H57" s="12"/>
    </row>
    <row r="58" spans="1:11" x14ac:dyDescent="0.2">
      <c r="A58" s="58" t="s">
        <v>1297</v>
      </c>
      <c r="B58" s="58"/>
      <c r="C58" s="58"/>
      <c r="D58" s="58"/>
      <c r="E58" s="58"/>
      <c r="F58" s="58"/>
      <c r="G58" s="58"/>
    </row>
    <row r="60" spans="1:11" ht="17" thickBot="1" x14ac:dyDescent="0.25">
      <c r="D60" s="147" t="s">
        <v>1299</v>
      </c>
      <c r="E60" s="208" t="s">
        <v>1298</v>
      </c>
      <c r="F60" s="208"/>
    </row>
    <row r="61" spans="1:11" x14ac:dyDescent="0.2">
      <c r="D61" s="12" t="s">
        <v>1300</v>
      </c>
      <c r="E61" s="208"/>
      <c r="F61" s="208"/>
    </row>
    <row r="63" spans="1:11" ht="17" thickBot="1" x14ac:dyDescent="0.25">
      <c r="B63" s="224">
        <f>31168*108.5/104</f>
        <v>32516.615384615383</v>
      </c>
      <c r="C63" s="208" t="s">
        <v>138</v>
      </c>
      <c r="D63" s="147">
        <v>108.5</v>
      </c>
      <c r="E63" s="208" t="s">
        <v>1301</v>
      </c>
      <c r="F63" s="208"/>
    </row>
    <row r="64" spans="1:11" x14ac:dyDescent="0.2">
      <c r="B64" s="224"/>
      <c r="C64" s="208"/>
      <c r="D64" s="12">
        <v>104</v>
      </c>
      <c r="E64" s="208"/>
      <c r="F64" s="208"/>
    </row>
    <row r="66" spans="1:9" x14ac:dyDescent="0.2">
      <c r="A66" s="2" t="s">
        <v>1302</v>
      </c>
    </row>
    <row r="67" spans="1:9" ht="17" thickBot="1" x14ac:dyDescent="0.25"/>
    <row r="68" spans="1:9" ht="17" thickBot="1" x14ac:dyDescent="0.25">
      <c r="A68" s="3" t="s">
        <v>1303</v>
      </c>
      <c r="B68" s="4"/>
      <c r="C68" s="4"/>
      <c r="D68" s="4"/>
      <c r="E68" s="4"/>
      <c r="F68" s="4"/>
      <c r="G68" s="4"/>
      <c r="H68" s="5"/>
    </row>
    <row r="69" spans="1:9" x14ac:dyDescent="0.2">
      <c r="B69" s="1" t="s">
        <v>1307</v>
      </c>
    </row>
    <row r="70" spans="1:9" x14ac:dyDescent="0.2">
      <c r="B70" s="1" t="s">
        <v>1304</v>
      </c>
    </row>
    <row r="71" spans="1:9" x14ac:dyDescent="0.2">
      <c r="B71" s="1" t="s">
        <v>1305</v>
      </c>
    </row>
    <row r="72" spans="1:9" x14ac:dyDescent="0.2">
      <c r="B72" s="1" t="s">
        <v>1306</v>
      </c>
    </row>
    <row r="73" spans="1:9" x14ac:dyDescent="0.2">
      <c r="B73" s="1" t="s">
        <v>1315</v>
      </c>
    </row>
    <row r="74" spans="1:9" x14ac:dyDescent="0.2">
      <c r="B74" s="1" t="s">
        <v>1314</v>
      </c>
    </row>
    <row r="76" spans="1:9" x14ac:dyDescent="0.2">
      <c r="A76" s="2" t="s">
        <v>1316</v>
      </c>
    </row>
    <row r="78" spans="1:9" x14ac:dyDescent="0.2">
      <c r="A78" s="58" t="s">
        <v>1296</v>
      </c>
      <c r="B78" s="58"/>
      <c r="C78" s="58"/>
      <c r="D78" s="58"/>
      <c r="E78" s="58"/>
      <c r="F78" s="58"/>
      <c r="G78" s="58"/>
    </row>
    <row r="80" spans="1:9" x14ac:dyDescent="0.2">
      <c r="D80" s="59"/>
      <c r="E80" s="58" t="s">
        <v>1200</v>
      </c>
      <c r="H80" s="59"/>
      <c r="I80" s="58" t="s">
        <v>177</v>
      </c>
    </row>
    <row r="81" spans="1:11" x14ac:dyDescent="0.2">
      <c r="A81" s="1" t="s">
        <v>1310</v>
      </c>
      <c r="D81" s="12">
        <v>12</v>
      </c>
      <c r="E81" s="1" t="s">
        <v>1201</v>
      </c>
      <c r="H81" s="12" t="s">
        <v>179</v>
      </c>
      <c r="I81" s="1" t="s">
        <v>178</v>
      </c>
    </row>
    <row r="82" spans="1:11" x14ac:dyDescent="0.2">
      <c r="A82" s="1" t="s">
        <v>1311</v>
      </c>
      <c r="D82" s="12">
        <v>12</v>
      </c>
      <c r="E82" s="1" t="s">
        <v>1202</v>
      </c>
      <c r="H82" s="12">
        <v>48</v>
      </c>
      <c r="I82" s="1" t="s">
        <v>45</v>
      </c>
      <c r="J82" s="1" t="s">
        <v>1308</v>
      </c>
    </row>
    <row r="83" spans="1:11" x14ac:dyDescent="0.2">
      <c r="D83" s="12"/>
      <c r="H83" s="110">
        <f>((1 + 3%)^(1/12) - 1) * 100</f>
        <v>0.24662697723036864</v>
      </c>
      <c r="I83" s="1" t="s">
        <v>42</v>
      </c>
      <c r="K83" s="110" t="s">
        <v>1309</v>
      </c>
    </row>
    <row r="84" spans="1:11" x14ac:dyDescent="0.2">
      <c r="D84" s="12"/>
      <c r="H84" s="12">
        <v>50000</v>
      </c>
      <c r="I84" s="1" t="s">
        <v>39</v>
      </c>
      <c r="J84" s="1" t="s">
        <v>1289</v>
      </c>
    </row>
    <row r="85" spans="1:11" x14ac:dyDescent="0.2">
      <c r="A85" s="1" t="s">
        <v>1295</v>
      </c>
      <c r="D85" s="113">
        <v>38048</v>
      </c>
      <c r="E85" s="1" t="s">
        <v>1206</v>
      </c>
      <c r="F85" s="1" t="s">
        <v>51</v>
      </c>
      <c r="H85" s="42">
        <f>PMT(H83/100,H82,H84,H86)</f>
        <v>-1105.8221158197584</v>
      </c>
      <c r="I85" s="1" t="s">
        <v>47</v>
      </c>
      <c r="J85" s="1" t="s">
        <v>51</v>
      </c>
    </row>
    <row r="86" spans="1:11" x14ac:dyDescent="0.2">
      <c r="A86" s="1" t="s">
        <v>1312</v>
      </c>
      <c r="H86" s="12">
        <v>0</v>
      </c>
      <c r="I86" s="1" t="s">
        <v>50</v>
      </c>
      <c r="J86" s="1" t="s">
        <v>1291</v>
      </c>
    </row>
    <row r="87" spans="1:11" x14ac:dyDescent="0.2">
      <c r="H87" s="12"/>
    </row>
    <row r="88" spans="1:11" x14ac:dyDescent="0.2">
      <c r="A88" s="58" t="s">
        <v>1297</v>
      </c>
      <c r="B88" s="58"/>
      <c r="C88" s="58"/>
      <c r="D88" s="58"/>
      <c r="E88" s="58"/>
      <c r="F88" s="58"/>
      <c r="G88" s="58"/>
    </row>
    <row r="90" spans="1:11" ht="17" thickBot="1" x14ac:dyDescent="0.25">
      <c r="D90" s="147" t="s">
        <v>1299</v>
      </c>
      <c r="E90" s="208" t="s">
        <v>1298</v>
      </c>
      <c r="F90" s="208"/>
    </row>
    <row r="91" spans="1:11" x14ac:dyDescent="0.2">
      <c r="D91" s="12" t="s">
        <v>1300</v>
      </c>
      <c r="E91" s="208"/>
      <c r="F91" s="208"/>
    </row>
    <row r="93" spans="1:11" ht="17" thickBot="1" x14ac:dyDescent="0.25">
      <c r="B93" s="224">
        <f>D85*106/102</f>
        <v>39540.078431372553</v>
      </c>
      <c r="C93" s="208" t="s">
        <v>138</v>
      </c>
      <c r="D93" s="147">
        <v>106</v>
      </c>
      <c r="E93" s="208" t="s">
        <v>1313</v>
      </c>
      <c r="F93" s="208"/>
    </row>
    <row r="94" spans="1:11" x14ac:dyDescent="0.2">
      <c r="B94" s="224"/>
      <c r="C94" s="208"/>
      <c r="D94" s="12">
        <v>102</v>
      </c>
      <c r="E94" s="208"/>
      <c r="F94" s="208"/>
    </row>
    <row r="96" spans="1:11" x14ac:dyDescent="0.2">
      <c r="A96" s="2" t="s">
        <v>1322</v>
      </c>
    </row>
    <row r="99" spans="1:11" x14ac:dyDescent="0.2">
      <c r="A99" s="2" t="s">
        <v>1317</v>
      </c>
    </row>
    <row r="100" spans="1:11" x14ac:dyDescent="0.2">
      <c r="A100" s="1" t="s">
        <v>1318</v>
      </c>
    </row>
    <row r="102" spans="1:11" x14ac:dyDescent="0.2">
      <c r="D102" s="59"/>
      <c r="E102" s="58" t="s">
        <v>1200</v>
      </c>
      <c r="H102" s="59"/>
      <c r="I102" s="58" t="s">
        <v>177</v>
      </c>
    </row>
    <row r="103" spans="1:11" x14ac:dyDescent="0.2">
      <c r="A103" s="1" t="s">
        <v>1310</v>
      </c>
      <c r="D103" s="12">
        <v>12</v>
      </c>
      <c r="E103" s="1" t="s">
        <v>1201</v>
      </c>
      <c r="H103" s="12" t="s">
        <v>179</v>
      </c>
      <c r="I103" s="1" t="s">
        <v>178</v>
      </c>
    </row>
    <row r="104" spans="1:11" x14ac:dyDescent="0.2">
      <c r="A104" s="1" t="s">
        <v>1311</v>
      </c>
      <c r="D104" s="12">
        <v>12</v>
      </c>
      <c r="E104" s="1" t="s">
        <v>1202</v>
      </c>
      <c r="H104" s="12">
        <v>48</v>
      </c>
      <c r="I104" s="1" t="s">
        <v>45</v>
      </c>
      <c r="J104" s="1" t="s">
        <v>1308</v>
      </c>
    </row>
    <row r="105" spans="1:11" x14ac:dyDescent="0.2">
      <c r="D105" s="12"/>
      <c r="H105" s="110">
        <f>((1 + 8%)^(1/12) - 1) * 100</f>
        <v>0.64340301100034303</v>
      </c>
      <c r="I105" s="1" t="s">
        <v>42</v>
      </c>
      <c r="K105" s="110" t="s">
        <v>1309</v>
      </c>
    </row>
    <row r="106" spans="1:11" x14ac:dyDescent="0.2">
      <c r="D106" s="12"/>
      <c r="H106" s="12">
        <v>50000</v>
      </c>
      <c r="I106" s="1" t="s">
        <v>39</v>
      </c>
      <c r="J106" s="1" t="s">
        <v>1289</v>
      </c>
    </row>
    <row r="107" spans="1:11" x14ac:dyDescent="0.2">
      <c r="A107" s="1" t="s">
        <v>1295</v>
      </c>
      <c r="D107" s="113">
        <v>38903.949999999997</v>
      </c>
      <c r="E107" s="1" t="s">
        <v>1206</v>
      </c>
      <c r="F107" s="1" t="s">
        <v>51</v>
      </c>
      <c r="H107" s="42">
        <f>PMT(H105/100,H104,H106,H108)</f>
        <v>-1214.1047166835956</v>
      </c>
      <c r="I107" s="1" t="s">
        <v>47</v>
      </c>
      <c r="J107" s="1" t="s">
        <v>51</v>
      </c>
    </row>
    <row r="108" spans="1:11" x14ac:dyDescent="0.2">
      <c r="A108" s="1" t="s">
        <v>1319</v>
      </c>
      <c r="H108" s="12">
        <v>0</v>
      </c>
      <c r="I108" s="1" t="s">
        <v>50</v>
      </c>
      <c r="J108" s="1" t="s">
        <v>1291</v>
      </c>
    </row>
    <row r="109" spans="1:11" x14ac:dyDescent="0.2">
      <c r="A109" s="1" t="s">
        <v>1320</v>
      </c>
    </row>
    <row r="111" spans="1:11" x14ac:dyDescent="0.2">
      <c r="A111" s="2" t="s">
        <v>1321</v>
      </c>
    </row>
    <row r="113" spans="1:8" ht="31" x14ac:dyDescent="0.35">
      <c r="A113" s="160" t="s">
        <v>1324</v>
      </c>
    </row>
    <row r="114" spans="1:8" ht="17" thickBot="1" x14ac:dyDescent="0.25"/>
    <row r="115" spans="1:8" ht="17" thickBot="1" x14ac:dyDescent="0.25">
      <c r="A115" s="3" t="s">
        <v>1325</v>
      </c>
      <c r="B115" s="4"/>
      <c r="C115" s="4"/>
      <c r="D115" s="4"/>
      <c r="E115" s="4"/>
      <c r="F115" s="4"/>
      <c r="G115" s="4"/>
      <c r="H115" s="5"/>
    </row>
    <row r="116" spans="1:8" x14ac:dyDescent="0.2">
      <c r="A116" s="1" t="s">
        <v>1326</v>
      </c>
    </row>
    <row r="117" spans="1:8" x14ac:dyDescent="0.2">
      <c r="A117" s="1" t="s">
        <v>1327</v>
      </c>
    </row>
    <row r="118" spans="1:8" x14ac:dyDescent="0.2">
      <c r="A118" s="1" t="s">
        <v>1328</v>
      </c>
    </row>
    <row r="119" spans="1:8" x14ac:dyDescent="0.2">
      <c r="A119" s="1" t="s">
        <v>1329</v>
      </c>
    </row>
    <row r="121" spans="1:8" x14ac:dyDescent="0.2">
      <c r="A121" s="1" t="s">
        <v>1330</v>
      </c>
    </row>
    <row r="122" spans="1:8" ht="17" thickBot="1" x14ac:dyDescent="0.25">
      <c r="C122" s="12"/>
      <c r="D122" s="147">
        <v>0</v>
      </c>
      <c r="E122" s="147">
        <v>1</v>
      </c>
      <c r="F122" s="147">
        <v>2</v>
      </c>
      <c r="G122" s="147">
        <v>3</v>
      </c>
    </row>
    <row r="123" spans="1:8" x14ac:dyDescent="0.2">
      <c r="C123" s="12" t="s">
        <v>1331</v>
      </c>
      <c r="D123" s="12">
        <v>-100</v>
      </c>
      <c r="E123" s="12">
        <v>40</v>
      </c>
      <c r="F123" s="12">
        <v>50</v>
      </c>
      <c r="G123" s="12">
        <v>30</v>
      </c>
    </row>
    <row r="125" spans="1:8" x14ac:dyDescent="0.2">
      <c r="A125" s="1" t="s">
        <v>1332</v>
      </c>
    </row>
    <row r="126" spans="1:8" ht="17" thickBot="1" x14ac:dyDescent="0.25"/>
    <row r="127" spans="1:8" ht="17" thickBot="1" x14ac:dyDescent="0.25">
      <c r="A127" s="3" t="s">
        <v>1333</v>
      </c>
      <c r="B127" s="4"/>
      <c r="C127" s="4"/>
      <c r="D127" s="4"/>
      <c r="E127" s="4"/>
      <c r="F127" s="4"/>
      <c r="G127" s="4"/>
      <c r="H127" s="5"/>
    </row>
    <row r="128" spans="1:8" x14ac:dyDescent="0.2">
      <c r="A128" s="1" t="s">
        <v>1334</v>
      </c>
    </row>
    <row r="129" spans="1:8" x14ac:dyDescent="0.2">
      <c r="A129" s="1" t="s">
        <v>1335</v>
      </c>
    </row>
    <row r="130" spans="1:8" ht="17" thickBot="1" x14ac:dyDescent="0.25"/>
    <row r="131" spans="1:8" ht="17" thickBot="1" x14ac:dyDescent="0.25">
      <c r="A131" s="3" t="s">
        <v>1336</v>
      </c>
      <c r="B131" s="4"/>
      <c r="C131" s="4"/>
      <c r="D131" s="4"/>
      <c r="E131" s="4"/>
      <c r="F131" s="4"/>
      <c r="G131" s="4"/>
      <c r="H131" s="5"/>
    </row>
    <row r="132" spans="1:8" x14ac:dyDescent="0.2">
      <c r="A132" s="1" t="s">
        <v>1337</v>
      </c>
    </row>
    <row r="133" spans="1:8" x14ac:dyDescent="0.2">
      <c r="A133" s="1" t="s">
        <v>1338</v>
      </c>
    </row>
    <row r="134" spans="1:8" x14ac:dyDescent="0.2">
      <c r="A134" s="1" t="s">
        <v>1342</v>
      </c>
    </row>
    <row r="136" spans="1:8" x14ac:dyDescent="0.2">
      <c r="C136" s="1" t="s">
        <v>1348</v>
      </c>
      <c r="D136" s="1" t="s">
        <v>1341</v>
      </c>
    </row>
    <row r="137" spans="1:8" x14ac:dyDescent="0.2">
      <c r="C137" s="1">
        <v>0</v>
      </c>
      <c r="D137" s="1">
        <v>-50</v>
      </c>
    </row>
    <row r="138" spans="1:8" x14ac:dyDescent="0.2">
      <c r="C138" s="1">
        <v>1</v>
      </c>
      <c r="D138" s="1">
        <v>0</v>
      </c>
    </row>
    <row r="139" spans="1:8" x14ac:dyDescent="0.2">
      <c r="C139" s="1">
        <v>2</v>
      </c>
      <c r="D139" s="1">
        <v>30</v>
      </c>
    </row>
    <row r="140" spans="1:8" x14ac:dyDescent="0.2">
      <c r="C140" s="1">
        <v>3</v>
      </c>
      <c r="D140" s="1">
        <v>25</v>
      </c>
    </row>
    <row r="141" spans="1:8" x14ac:dyDescent="0.2">
      <c r="C141" s="1">
        <v>4</v>
      </c>
      <c r="D141" s="1">
        <v>40</v>
      </c>
    </row>
    <row r="143" spans="1:8" x14ac:dyDescent="0.2">
      <c r="A143" s="1" t="s">
        <v>1339</v>
      </c>
    </row>
    <row r="145" spans="1:10" x14ac:dyDescent="0.2">
      <c r="A145" s="1" t="s">
        <v>1151</v>
      </c>
    </row>
    <row r="146" spans="1:10" x14ac:dyDescent="0.2">
      <c r="A146" s="1" t="s">
        <v>1340</v>
      </c>
    </row>
    <row r="148" spans="1:10" x14ac:dyDescent="0.2">
      <c r="A148" s="2" t="s">
        <v>27</v>
      </c>
    </row>
    <row r="149" spans="1:10" x14ac:dyDescent="0.2">
      <c r="I149" s="12" t="s">
        <v>1345</v>
      </c>
    </row>
    <row r="150" spans="1:10" x14ac:dyDescent="0.2">
      <c r="A150" s="1" t="s">
        <v>1343</v>
      </c>
      <c r="I150" s="12" t="s">
        <v>1346</v>
      </c>
    </row>
    <row r="151" spans="1:10" x14ac:dyDescent="0.2">
      <c r="I151" s="12" t="s">
        <v>1347</v>
      </c>
    </row>
    <row r="152" spans="1:10" x14ac:dyDescent="0.2">
      <c r="C152" s="1" t="s">
        <v>1348</v>
      </c>
      <c r="D152" s="1" t="s">
        <v>1341</v>
      </c>
      <c r="I152" s="32" t="s">
        <v>1344</v>
      </c>
    </row>
    <row r="153" spans="1:10" x14ac:dyDescent="0.2">
      <c r="C153" s="12">
        <v>0</v>
      </c>
      <c r="D153" s="12">
        <v>-50</v>
      </c>
      <c r="H153" s="12">
        <v>8</v>
      </c>
      <c r="I153" s="12" t="s">
        <v>42</v>
      </c>
      <c r="J153" s="1" t="s">
        <v>1380</v>
      </c>
    </row>
    <row r="154" spans="1:10" x14ac:dyDescent="0.2">
      <c r="C154" s="12">
        <v>1</v>
      </c>
      <c r="D154" s="12">
        <v>0</v>
      </c>
      <c r="F154" s="12" t="s">
        <v>1350</v>
      </c>
      <c r="I154" s="1" t="s">
        <v>1349</v>
      </c>
    </row>
    <row r="155" spans="1:10" x14ac:dyDescent="0.2">
      <c r="C155" s="12">
        <v>2</v>
      </c>
      <c r="D155" s="12">
        <v>30</v>
      </c>
      <c r="F155" s="161">
        <v>-50</v>
      </c>
      <c r="G155" s="12">
        <v>1</v>
      </c>
      <c r="H155" s="132" t="s">
        <v>1351</v>
      </c>
    </row>
    <row r="156" spans="1:10" x14ac:dyDescent="0.2">
      <c r="C156" s="12">
        <v>3</v>
      </c>
      <c r="D156" s="12">
        <v>25</v>
      </c>
      <c r="F156" s="161">
        <v>0</v>
      </c>
      <c r="G156" s="12">
        <v>2</v>
      </c>
      <c r="H156" s="132" t="s">
        <v>1352</v>
      </c>
    </row>
    <row r="157" spans="1:10" x14ac:dyDescent="0.2">
      <c r="C157" s="12">
        <v>4</v>
      </c>
      <c r="D157" s="12">
        <v>40</v>
      </c>
      <c r="F157" s="161">
        <v>30</v>
      </c>
      <c r="G157" s="12">
        <v>3</v>
      </c>
      <c r="H157" s="132" t="s">
        <v>1353</v>
      </c>
    </row>
    <row r="158" spans="1:10" x14ac:dyDescent="0.2">
      <c r="F158" s="161">
        <v>25</v>
      </c>
      <c r="G158" s="12">
        <v>4</v>
      </c>
      <c r="H158" s="132" t="s">
        <v>1354</v>
      </c>
    </row>
    <row r="159" spans="1:10" x14ac:dyDescent="0.2">
      <c r="F159" s="161">
        <v>40</v>
      </c>
      <c r="G159" s="12">
        <v>5</v>
      </c>
      <c r="H159" s="132" t="s">
        <v>1355</v>
      </c>
    </row>
    <row r="161" spans="3:10" x14ac:dyDescent="0.2">
      <c r="F161" s="1" t="s">
        <v>1356</v>
      </c>
      <c r="H161" s="16">
        <f>NPV(8%,F156:F159)+F155</f>
        <v>24.967164746415861</v>
      </c>
      <c r="I161" s="162" t="s">
        <v>1357</v>
      </c>
      <c r="J161" s="1" t="s">
        <v>1364</v>
      </c>
    </row>
    <row r="162" spans="3:10" x14ac:dyDescent="0.2">
      <c r="H162" s="36">
        <f>IRR(F155:F159)*100</f>
        <v>23.61368775864241</v>
      </c>
      <c r="I162" s="162" t="s">
        <v>1358</v>
      </c>
      <c r="J162" s="1" t="s">
        <v>1371</v>
      </c>
    </row>
    <row r="163" spans="3:10" x14ac:dyDescent="0.2">
      <c r="J163" s="1" t="s">
        <v>1372</v>
      </c>
    </row>
    <row r="164" spans="3:10" x14ac:dyDescent="0.2">
      <c r="C164" s="2" t="s">
        <v>1359</v>
      </c>
    </row>
    <row r="165" spans="3:10" x14ac:dyDescent="0.2">
      <c r="C165" s="1" t="s">
        <v>1360</v>
      </c>
    </row>
    <row r="166" spans="3:10" x14ac:dyDescent="0.2">
      <c r="C166" s="1" t="s">
        <v>1361</v>
      </c>
    </row>
    <row r="167" spans="3:10" x14ac:dyDescent="0.2">
      <c r="C167" s="1" t="s">
        <v>1362</v>
      </c>
    </row>
    <row r="168" spans="3:10" x14ac:dyDescent="0.2">
      <c r="C168" s="2" t="s">
        <v>1363</v>
      </c>
    </row>
    <row r="170" spans="3:10" x14ac:dyDescent="0.2">
      <c r="C170" s="1" t="s">
        <v>1365</v>
      </c>
    </row>
    <row r="171" spans="3:10" x14ac:dyDescent="0.2">
      <c r="C171" s="1" t="s">
        <v>1366</v>
      </c>
    </row>
    <row r="172" spans="3:10" x14ac:dyDescent="0.2">
      <c r="C172" s="1" t="s">
        <v>1367</v>
      </c>
    </row>
    <row r="173" spans="3:10" x14ac:dyDescent="0.2">
      <c r="C173" s="1" t="s">
        <v>1368</v>
      </c>
    </row>
    <row r="174" spans="3:10" x14ac:dyDescent="0.2">
      <c r="C174" s="1" t="s">
        <v>1369</v>
      </c>
    </row>
    <row r="175" spans="3:10" x14ac:dyDescent="0.2">
      <c r="C175" s="2" t="s">
        <v>1370</v>
      </c>
    </row>
    <row r="176" spans="3:10" ht="17" thickBot="1" x14ac:dyDescent="0.25"/>
    <row r="177" spans="1:10" ht="17" thickBot="1" x14ac:dyDescent="0.25">
      <c r="A177" s="3" t="s">
        <v>1373</v>
      </c>
      <c r="B177" s="4"/>
      <c r="C177" s="4"/>
      <c r="D177" s="4"/>
      <c r="E177" s="4"/>
      <c r="F177" s="4"/>
      <c r="G177" s="4"/>
      <c r="H177" s="5"/>
    </row>
    <row r="178" spans="1:10" x14ac:dyDescent="0.2">
      <c r="A178" s="1" t="s">
        <v>1374</v>
      </c>
    </row>
    <row r="179" spans="1:10" x14ac:dyDescent="0.2">
      <c r="A179" s="1" t="s">
        <v>1375</v>
      </c>
    </row>
    <row r="180" spans="1:10" x14ac:dyDescent="0.2">
      <c r="A180" s="1" t="s">
        <v>1376</v>
      </c>
    </row>
    <row r="181" spans="1:10" x14ac:dyDescent="0.2">
      <c r="A181" s="1" t="s">
        <v>1377</v>
      </c>
    </row>
    <row r="183" spans="1:10" x14ac:dyDescent="0.2">
      <c r="A183" s="1" t="s">
        <v>1379</v>
      </c>
    </row>
    <row r="185" spans="1:10" x14ac:dyDescent="0.2">
      <c r="A185" s="1" t="s">
        <v>1378</v>
      </c>
    </row>
    <row r="187" spans="1:10" x14ac:dyDescent="0.2">
      <c r="I187" s="12" t="s">
        <v>1345</v>
      </c>
    </row>
    <row r="188" spans="1:10" x14ac:dyDescent="0.2">
      <c r="A188" s="1" t="s">
        <v>1343</v>
      </c>
      <c r="I188" s="12" t="s">
        <v>1346</v>
      </c>
    </row>
    <row r="189" spans="1:10" x14ac:dyDescent="0.2">
      <c r="I189" s="12" t="s">
        <v>1347</v>
      </c>
    </row>
    <row r="190" spans="1:10" x14ac:dyDescent="0.2">
      <c r="C190" s="1" t="s">
        <v>1348</v>
      </c>
      <c r="D190" s="1" t="s">
        <v>1341</v>
      </c>
      <c r="I190" s="32" t="s">
        <v>1344</v>
      </c>
    </row>
    <row r="191" spans="1:10" x14ac:dyDescent="0.2">
      <c r="C191" s="12">
        <v>0</v>
      </c>
      <c r="D191" s="12">
        <v>-2</v>
      </c>
      <c r="H191" s="12">
        <v>7</v>
      </c>
      <c r="I191" s="12" t="s">
        <v>42</v>
      </c>
      <c r="J191" s="1" t="s">
        <v>1380</v>
      </c>
    </row>
    <row r="192" spans="1:10" x14ac:dyDescent="0.2">
      <c r="C192" s="12">
        <v>1</v>
      </c>
      <c r="D192" s="12">
        <v>0.5</v>
      </c>
      <c r="F192" s="12" t="s">
        <v>1350</v>
      </c>
      <c r="I192" s="1" t="s">
        <v>1349</v>
      </c>
    </row>
    <row r="193" spans="1:9" x14ac:dyDescent="0.2">
      <c r="C193" s="12">
        <v>2</v>
      </c>
      <c r="D193" s="12">
        <v>0.5</v>
      </c>
      <c r="F193" s="161">
        <v>-2</v>
      </c>
      <c r="G193" s="12">
        <v>1</v>
      </c>
      <c r="H193" s="132" t="s">
        <v>1351</v>
      </c>
    </row>
    <row r="194" spans="1:9" x14ac:dyDescent="0.2">
      <c r="C194" s="12">
        <v>3</v>
      </c>
      <c r="D194" s="12">
        <v>0.5</v>
      </c>
      <c r="F194" s="161">
        <v>0.5</v>
      </c>
      <c r="G194" s="12">
        <v>2</v>
      </c>
      <c r="H194" s="132" t="s">
        <v>1352</v>
      </c>
    </row>
    <row r="195" spans="1:9" x14ac:dyDescent="0.2">
      <c r="C195" s="12">
        <v>4</v>
      </c>
      <c r="D195" s="12">
        <v>0.8</v>
      </c>
      <c r="F195" s="161">
        <v>0.5</v>
      </c>
      <c r="G195" s="12">
        <v>3</v>
      </c>
      <c r="H195" s="132" t="s">
        <v>1353</v>
      </c>
    </row>
    <row r="196" spans="1:9" x14ac:dyDescent="0.2">
      <c r="C196" s="12">
        <v>5</v>
      </c>
      <c r="D196" s="12">
        <v>0.8</v>
      </c>
      <c r="F196" s="161">
        <v>0.5</v>
      </c>
      <c r="G196" s="12">
        <v>4</v>
      </c>
      <c r="H196" s="132" t="s">
        <v>1354</v>
      </c>
    </row>
    <row r="197" spans="1:9" x14ac:dyDescent="0.2">
      <c r="F197" s="161">
        <v>0.8</v>
      </c>
      <c r="G197" s="12">
        <v>5</v>
      </c>
      <c r="H197" s="132" t="s">
        <v>1355</v>
      </c>
    </row>
    <row r="198" spans="1:9" x14ac:dyDescent="0.2">
      <c r="F198" s="161">
        <v>0.8</v>
      </c>
      <c r="G198" s="12">
        <v>6</v>
      </c>
      <c r="H198" s="132"/>
    </row>
    <row r="200" spans="1:9" x14ac:dyDescent="0.2">
      <c r="F200" s="1" t="s">
        <v>1356</v>
      </c>
      <c r="H200" s="163">
        <f>NPV(7%,F194:F198)+F193</f>
        <v>0.49286313543315519</v>
      </c>
      <c r="I200" s="162" t="s">
        <v>1357</v>
      </c>
    </row>
    <row r="201" spans="1:9" x14ac:dyDescent="0.2">
      <c r="H201" s="42">
        <f>IRR(F193:F198)*100</f>
        <v>14.937866205536409</v>
      </c>
      <c r="I201" s="162" t="s">
        <v>1358</v>
      </c>
    </row>
    <row r="203" spans="1:9" x14ac:dyDescent="0.2">
      <c r="A203" s="1" t="s">
        <v>1381</v>
      </c>
    </row>
    <row r="204" spans="1:9" x14ac:dyDescent="0.2">
      <c r="A204" s="1" t="s">
        <v>1382</v>
      </c>
    </row>
    <row r="205" spans="1:9" x14ac:dyDescent="0.2">
      <c r="A205" s="1" t="s">
        <v>1383</v>
      </c>
    </row>
    <row r="206" spans="1:9" x14ac:dyDescent="0.2">
      <c r="A206" s="1" t="s">
        <v>1384</v>
      </c>
    </row>
    <row r="207" spans="1:9" x14ac:dyDescent="0.2">
      <c r="A207" s="1" t="s">
        <v>1385</v>
      </c>
    </row>
    <row r="210" spans="1:9" x14ac:dyDescent="0.2">
      <c r="A210" s="1" t="s">
        <v>1386</v>
      </c>
    </row>
    <row r="211" spans="1:9" x14ac:dyDescent="0.2">
      <c r="A211" s="2" t="s">
        <v>1388</v>
      </c>
    </row>
    <row r="212" spans="1:9" x14ac:dyDescent="0.2">
      <c r="A212" s="1" t="s">
        <v>1389</v>
      </c>
    </row>
    <row r="213" spans="1:9" x14ac:dyDescent="0.2">
      <c r="A213" s="1" t="s">
        <v>1387</v>
      </c>
    </row>
    <row r="215" spans="1:9" x14ac:dyDescent="0.2">
      <c r="A215" s="2" t="s">
        <v>1390</v>
      </c>
    </row>
    <row r="216" spans="1:9" x14ac:dyDescent="0.2">
      <c r="A216" s="1" t="s">
        <v>1391</v>
      </c>
    </row>
    <row r="218" spans="1:9" x14ac:dyDescent="0.2">
      <c r="A218" s="78" t="s">
        <v>1392</v>
      </c>
      <c r="B218" s="29"/>
    </row>
    <row r="219" spans="1:9" x14ac:dyDescent="0.2">
      <c r="A219" s="1" t="s">
        <v>1393</v>
      </c>
      <c r="I219" s="156">
        <v>7.0000000000000007E-2</v>
      </c>
    </row>
    <row r="221" spans="1:9" x14ac:dyDescent="0.2">
      <c r="A221" s="2" t="s">
        <v>1394</v>
      </c>
    </row>
    <row r="222" spans="1:9" x14ac:dyDescent="0.2">
      <c r="A222" s="1" t="s">
        <v>1395</v>
      </c>
    </row>
    <row r="223" spans="1:9" x14ac:dyDescent="0.2">
      <c r="A223" s="1" t="s">
        <v>1396</v>
      </c>
    </row>
  </sheetData>
  <mergeCells count="8">
    <mergeCell ref="B93:B94"/>
    <mergeCell ref="C93:C94"/>
    <mergeCell ref="E93:F94"/>
    <mergeCell ref="E60:F61"/>
    <mergeCell ref="E63:F64"/>
    <mergeCell ref="C63:C64"/>
    <mergeCell ref="B63:B64"/>
    <mergeCell ref="E90:F9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1EE0C-B113-DC4B-B47E-428DF39D9955}">
  <dimension ref="A1:K190"/>
  <sheetViews>
    <sheetView rightToLeft="1" topLeftCell="A165" zoomScale="242" zoomScaleNormal="330" workbookViewId="0">
      <selection activeCell="E156" sqref="E156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78" t="s">
        <v>1397</v>
      </c>
      <c r="B1" s="78"/>
      <c r="C1" s="78"/>
      <c r="D1" s="78"/>
      <c r="E1" s="78"/>
      <c r="F1" s="78"/>
      <c r="G1" s="78"/>
      <c r="H1" s="79">
        <v>45669</v>
      </c>
    </row>
    <row r="2" spans="1:10" ht="17" thickBot="1" x14ac:dyDescent="0.25"/>
    <row r="3" spans="1:10" ht="17" thickBot="1" x14ac:dyDescent="0.25">
      <c r="A3" s="3" t="s">
        <v>1398</v>
      </c>
      <c r="B3" s="6"/>
      <c r="C3" s="6"/>
      <c r="D3" s="6"/>
      <c r="E3" s="6"/>
      <c r="F3" s="6"/>
      <c r="G3" s="6"/>
      <c r="H3" s="7"/>
    </row>
    <row r="4" spans="1:10" x14ac:dyDescent="0.2">
      <c r="A4" s="1" t="s">
        <v>1399</v>
      </c>
    </row>
    <row r="5" spans="1:10" x14ac:dyDescent="0.2">
      <c r="A5" s="1" t="s">
        <v>1400</v>
      </c>
    </row>
    <row r="6" spans="1:10" ht="17" thickBot="1" x14ac:dyDescent="0.25"/>
    <row r="7" spans="1:10" x14ac:dyDescent="0.2">
      <c r="A7" s="21" t="s">
        <v>1401</v>
      </c>
      <c r="B7" s="31"/>
      <c r="C7" s="31"/>
      <c r="D7" s="31"/>
      <c r="E7" s="31"/>
      <c r="F7" s="31"/>
      <c r="G7" s="31"/>
      <c r="H7" s="23"/>
    </row>
    <row r="8" spans="1:10" x14ac:dyDescent="0.2">
      <c r="A8" s="24"/>
      <c r="B8" s="1" t="s">
        <v>1402</v>
      </c>
      <c r="C8" s="1" t="s">
        <v>1403</v>
      </c>
      <c r="H8" s="25"/>
    </row>
    <row r="9" spans="1:10" x14ac:dyDescent="0.2">
      <c r="A9" s="24"/>
      <c r="B9" s="1" t="s">
        <v>1404</v>
      </c>
      <c r="C9" s="1" t="s">
        <v>1406</v>
      </c>
      <c r="H9" s="25"/>
    </row>
    <row r="10" spans="1:10" x14ac:dyDescent="0.2">
      <c r="A10" s="24"/>
      <c r="C10" s="1" t="s">
        <v>1405</v>
      </c>
      <c r="H10" s="25"/>
    </row>
    <row r="11" spans="1:10" x14ac:dyDescent="0.2">
      <c r="A11" s="24"/>
      <c r="B11" s="1" t="s">
        <v>1407</v>
      </c>
      <c r="C11" s="1" t="s">
        <v>1408</v>
      </c>
      <c r="H11" s="25"/>
    </row>
    <row r="12" spans="1:10" x14ac:dyDescent="0.2">
      <c r="A12" s="24"/>
      <c r="C12" s="1" t="s">
        <v>1409</v>
      </c>
      <c r="H12" s="25"/>
    </row>
    <row r="13" spans="1:10" x14ac:dyDescent="0.2">
      <c r="A13" s="24"/>
      <c r="B13" s="1" t="s">
        <v>1410</v>
      </c>
      <c r="C13" s="1" t="s">
        <v>1411</v>
      </c>
      <c r="H13" s="25"/>
    </row>
    <row r="14" spans="1:10" ht="17" thickBot="1" x14ac:dyDescent="0.25">
      <c r="A14" s="26"/>
      <c r="B14" s="27" t="s">
        <v>1412</v>
      </c>
      <c r="C14" s="27" t="s">
        <v>1413</v>
      </c>
      <c r="D14" s="27"/>
      <c r="E14" s="27"/>
      <c r="F14" s="27"/>
      <c r="G14" s="27"/>
      <c r="H14" s="28"/>
    </row>
    <row r="15" spans="1:10" ht="17" thickBot="1" x14ac:dyDescent="0.25">
      <c r="J15" s="1" t="s">
        <v>1478</v>
      </c>
    </row>
    <row r="16" spans="1:10" x14ac:dyDescent="0.2">
      <c r="A16" s="21" t="s">
        <v>1414</v>
      </c>
      <c r="B16" s="31"/>
      <c r="C16" s="31"/>
      <c r="D16" s="31"/>
      <c r="E16" s="31"/>
      <c r="F16" s="31"/>
      <c r="G16" s="31"/>
      <c r="H16" s="23"/>
    </row>
    <row r="17" spans="1:8" x14ac:dyDescent="0.2">
      <c r="A17" s="24"/>
      <c r="B17" s="1" t="s">
        <v>1415</v>
      </c>
      <c r="H17" s="25"/>
    </row>
    <row r="18" spans="1:8" x14ac:dyDescent="0.2">
      <c r="A18" s="24"/>
      <c r="B18" s="1" t="s">
        <v>1416</v>
      </c>
      <c r="H18" s="25"/>
    </row>
    <row r="19" spans="1:8" ht="17" thickBot="1" x14ac:dyDescent="0.25">
      <c r="A19" s="26"/>
      <c r="B19" s="27" t="s">
        <v>1417</v>
      </c>
      <c r="C19" s="27"/>
      <c r="D19" s="27"/>
      <c r="E19" s="27"/>
      <c r="F19" s="27"/>
      <c r="G19" s="27"/>
      <c r="H19" s="28"/>
    </row>
    <row r="20" spans="1:8" ht="17" thickBot="1" x14ac:dyDescent="0.25"/>
    <row r="21" spans="1:8" x14ac:dyDescent="0.2">
      <c r="A21" s="21" t="s">
        <v>1418</v>
      </c>
      <c r="B21" s="31"/>
      <c r="C21" s="31"/>
      <c r="D21" s="31"/>
      <c r="E21" s="31"/>
      <c r="F21" s="31"/>
      <c r="G21" s="31"/>
      <c r="H21" s="23"/>
    </row>
    <row r="22" spans="1:8" x14ac:dyDescent="0.2">
      <c r="A22" s="24" t="s">
        <v>1419</v>
      </c>
      <c r="H22" s="25"/>
    </row>
    <row r="23" spans="1:8" x14ac:dyDescent="0.2">
      <c r="A23" s="24" t="s">
        <v>1420</v>
      </c>
      <c r="H23" s="25"/>
    </row>
    <row r="24" spans="1:8" x14ac:dyDescent="0.2">
      <c r="A24" s="24" t="s">
        <v>1421</v>
      </c>
      <c r="H24" s="25"/>
    </row>
    <row r="25" spans="1:8" x14ac:dyDescent="0.2">
      <c r="A25" s="24" t="s">
        <v>1422</v>
      </c>
      <c r="H25" s="25"/>
    </row>
    <row r="26" spans="1:8" x14ac:dyDescent="0.2">
      <c r="A26" s="24" t="s">
        <v>1423</v>
      </c>
      <c r="H26" s="25"/>
    </row>
    <row r="27" spans="1:8" x14ac:dyDescent="0.2">
      <c r="A27" s="24" t="s">
        <v>1424</v>
      </c>
      <c r="H27" s="25"/>
    </row>
    <row r="28" spans="1:8" x14ac:dyDescent="0.2">
      <c r="A28" s="24" t="s">
        <v>1425</v>
      </c>
      <c r="H28" s="25"/>
    </row>
    <row r="29" spans="1:8" ht="17" thickBot="1" x14ac:dyDescent="0.25">
      <c r="A29" s="26" t="s">
        <v>1426</v>
      </c>
      <c r="B29" s="27"/>
      <c r="C29" s="27"/>
      <c r="D29" s="27"/>
      <c r="E29" s="27"/>
      <c r="F29" s="27"/>
      <c r="G29" s="27"/>
      <c r="H29" s="28"/>
    </row>
    <row r="31" spans="1:8" x14ac:dyDescent="0.2">
      <c r="A31" s="2" t="s">
        <v>1427</v>
      </c>
    </row>
    <row r="33" spans="1:11" ht="17" thickBot="1" x14ac:dyDescent="0.25">
      <c r="A33" s="164" t="s">
        <v>1428</v>
      </c>
      <c r="B33" s="164"/>
      <c r="C33" s="165" t="s">
        <v>1429</v>
      </c>
      <c r="D33" s="164" t="s">
        <v>1430</v>
      </c>
      <c r="E33" s="164"/>
      <c r="F33" s="164"/>
      <c r="G33" s="164"/>
      <c r="H33" s="164"/>
      <c r="I33" s="2" t="s">
        <v>1469</v>
      </c>
      <c r="J33" s="2"/>
      <c r="K33" s="2" t="s">
        <v>1476</v>
      </c>
    </row>
    <row r="34" spans="1:11" x14ac:dyDescent="0.2">
      <c r="A34" s="166" t="s">
        <v>1432</v>
      </c>
      <c r="B34" s="166"/>
      <c r="C34" s="167" t="s">
        <v>1477</v>
      </c>
      <c r="D34" s="166" t="s">
        <v>1431</v>
      </c>
      <c r="E34" s="166"/>
      <c r="F34" s="166"/>
      <c r="G34" s="166"/>
      <c r="H34" s="166"/>
      <c r="I34" s="237" t="s">
        <v>1470</v>
      </c>
      <c r="J34" s="238"/>
      <c r="K34" s="233" t="s">
        <v>1475</v>
      </c>
    </row>
    <row r="35" spans="1:11" x14ac:dyDescent="0.2">
      <c r="A35" s="166"/>
      <c r="B35" s="166"/>
      <c r="C35" s="168"/>
      <c r="D35" s="166" t="s">
        <v>1433</v>
      </c>
      <c r="E35" s="166"/>
      <c r="F35" s="166"/>
      <c r="G35" s="166"/>
      <c r="H35" s="166"/>
      <c r="I35" s="239"/>
      <c r="J35" s="240"/>
      <c r="K35" s="234"/>
    </row>
    <row r="36" spans="1:11" x14ac:dyDescent="0.2">
      <c r="A36" s="166"/>
      <c r="B36" s="166"/>
      <c r="C36" s="168"/>
      <c r="D36" s="166" t="s">
        <v>1434</v>
      </c>
      <c r="E36" s="166"/>
      <c r="F36" s="166"/>
      <c r="G36" s="166"/>
      <c r="H36" s="166"/>
      <c r="I36" s="239"/>
      <c r="J36" s="240"/>
      <c r="K36" s="234"/>
    </row>
    <row r="37" spans="1:11" x14ac:dyDescent="0.2">
      <c r="A37" s="166"/>
      <c r="B37" s="166"/>
      <c r="C37" s="168"/>
      <c r="D37" s="166" t="s">
        <v>1435</v>
      </c>
      <c r="E37" s="166"/>
      <c r="F37" s="166"/>
      <c r="G37" s="166"/>
      <c r="H37" s="166"/>
      <c r="I37" s="239"/>
      <c r="J37" s="240"/>
      <c r="K37" s="234"/>
    </row>
    <row r="38" spans="1:11" x14ac:dyDescent="0.2">
      <c r="A38" s="166"/>
      <c r="B38" s="166"/>
      <c r="C38" s="168"/>
      <c r="D38" s="166" t="s">
        <v>1436</v>
      </c>
      <c r="E38" s="166"/>
      <c r="F38" s="166"/>
      <c r="G38" s="166"/>
      <c r="H38" s="166"/>
      <c r="I38" s="239"/>
      <c r="J38" s="240"/>
      <c r="K38" s="234"/>
    </row>
    <row r="39" spans="1:11" x14ac:dyDescent="0.2">
      <c r="A39" s="166"/>
      <c r="B39" s="166"/>
      <c r="C39" s="168"/>
      <c r="D39" s="166" t="s">
        <v>1437</v>
      </c>
      <c r="E39" s="166"/>
      <c r="F39" s="166"/>
      <c r="G39" s="166"/>
      <c r="H39" s="166"/>
      <c r="I39" s="239"/>
      <c r="J39" s="240"/>
      <c r="K39" s="234"/>
    </row>
    <row r="40" spans="1:11" x14ac:dyDescent="0.2">
      <c r="A40" s="166"/>
      <c r="B40" s="166"/>
      <c r="C40" s="168"/>
      <c r="D40" s="166" t="s">
        <v>1438</v>
      </c>
      <c r="E40" s="166"/>
      <c r="F40" s="166"/>
      <c r="G40" s="166"/>
      <c r="H40" s="166"/>
      <c r="I40" s="239"/>
      <c r="J40" s="240"/>
      <c r="K40" s="234"/>
    </row>
    <row r="41" spans="1:11" ht="17" thickBot="1" x14ac:dyDescent="0.25">
      <c r="A41" s="166"/>
      <c r="B41" s="166"/>
      <c r="C41" s="168"/>
      <c r="D41" s="166" t="s">
        <v>1439</v>
      </c>
      <c r="E41" s="166"/>
      <c r="F41" s="166"/>
      <c r="G41" s="166"/>
      <c r="H41" s="166"/>
      <c r="I41" s="241"/>
      <c r="J41" s="242"/>
      <c r="K41" s="234"/>
    </row>
    <row r="42" spans="1:11" x14ac:dyDescent="0.2">
      <c r="A42" s="169" t="s">
        <v>1440</v>
      </c>
      <c r="B42" s="169"/>
      <c r="C42" s="170" t="s">
        <v>1448</v>
      </c>
      <c r="D42" s="169" t="s">
        <v>1441</v>
      </c>
      <c r="E42" s="169"/>
      <c r="F42" s="169"/>
      <c r="G42" s="169"/>
      <c r="H42" s="169"/>
      <c r="I42" s="243" t="s">
        <v>1471</v>
      </c>
      <c r="J42" s="244"/>
      <c r="K42" s="234"/>
    </row>
    <row r="43" spans="1:11" x14ac:dyDescent="0.2">
      <c r="A43" s="169"/>
      <c r="B43" s="169"/>
      <c r="C43" s="171"/>
      <c r="D43" s="169" t="s">
        <v>1442</v>
      </c>
      <c r="E43" s="169"/>
      <c r="F43" s="169"/>
      <c r="G43" s="169"/>
      <c r="H43" s="169"/>
      <c r="I43" s="245"/>
      <c r="J43" s="246"/>
      <c r="K43" s="234"/>
    </row>
    <row r="44" spans="1:11" x14ac:dyDescent="0.2">
      <c r="A44" s="169"/>
      <c r="B44" s="169"/>
      <c r="C44" s="171"/>
      <c r="D44" s="169" t="s">
        <v>1443</v>
      </c>
      <c r="E44" s="169"/>
      <c r="F44" s="169"/>
      <c r="G44" s="169"/>
      <c r="H44" s="169"/>
      <c r="I44" s="245"/>
      <c r="J44" s="246"/>
      <c r="K44" s="234"/>
    </row>
    <row r="45" spans="1:11" x14ac:dyDescent="0.2">
      <c r="A45" s="169"/>
      <c r="B45" s="169"/>
      <c r="C45" s="171"/>
      <c r="D45" s="169" t="s">
        <v>1444</v>
      </c>
      <c r="E45" s="169"/>
      <c r="F45" s="169"/>
      <c r="G45" s="169"/>
      <c r="H45" s="169"/>
      <c r="I45" s="245"/>
      <c r="J45" s="246"/>
      <c r="K45" s="234"/>
    </row>
    <row r="46" spans="1:11" x14ac:dyDescent="0.2">
      <c r="A46" s="169"/>
      <c r="B46" s="169"/>
      <c r="C46" s="171"/>
      <c r="D46" s="169" t="s">
        <v>1446</v>
      </c>
      <c r="E46" s="169"/>
      <c r="F46" s="169"/>
      <c r="G46" s="169"/>
      <c r="H46" s="169"/>
      <c r="I46" s="245"/>
      <c r="J46" s="246"/>
      <c r="K46" s="234"/>
    </row>
    <row r="47" spans="1:11" ht="17" thickBot="1" x14ac:dyDescent="0.25">
      <c r="A47" s="169"/>
      <c r="B47" s="169"/>
      <c r="C47" s="171"/>
      <c r="D47" s="169" t="s">
        <v>1445</v>
      </c>
      <c r="E47" s="169"/>
      <c r="F47" s="169"/>
      <c r="G47" s="169"/>
      <c r="H47" s="169"/>
      <c r="I47" s="247"/>
      <c r="J47" s="248"/>
      <c r="K47" s="234"/>
    </row>
    <row r="48" spans="1:11" ht="16" customHeight="1" x14ac:dyDescent="0.2">
      <c r="A48" s="172" t="s">
        <v>1447</v>
      </c>
      <c r="B48" s="172"/>
      <c r="C48" s="173" t="s">
        <v>1468</v>
      </c>
      <c r="D48" s="172" t="s">
        <v>1449</v>
      </c>
      <c r="E48" s="172"/>
      <c r="F48" s="172"/>
      <c r="G48" s="172"/>
      <c r="H48" s="172"/>
      <c r="I48" s="249" t="s">
        <v>1472</v>
      </c>
      <c r="J48" s="250"/>
      <c r="K48" s="234"/>
    </row>
    <row r="49" spans="1:11" x14ac:dyDescent="0.2">
      <c r="A49" s="172"/>
      <c r="B49" s="172"/>
      <c r="C49" s="173"/>
      <c r="D49" s="172" t="s">
        <v>1450</v>
      </c>
      <c r="E49" s="172"/>
      <c r="F49" s="172"/>
      <c r="G49" s="172"/>
      <c r="H49" s="172"/>
      <c r="I49" s="251"/>
      <c r="J49" s="252"/>
      <c r="K49" s="234"/>
    </row>
    <row r="50" spans="1:11" x14ac:dyDescent="0.2">
      <c r="A50" s="172"/>
      <c r="B50" s="172"/>
      <c r="C50" s="173"/>
      <c r="D50" s="172" t="s">
        <v>1451</v>
      </c>
      <c r="E50" s="172"/>
      <c r="F50" s="172"/>
      <c r="G50" s="172"/>
      <c r="H50" s="172"/>
      <c r="I50" s="251"/>
      <c r="J50" s="252"/>
      <c r="K50" s="234"/>
    </row>
    <row r="51" spans="1:11" x14ac:dyDescent="0.2">
      <c r="A51" s="172"/>
      <c r="B51" s="172"/>
      <c r="C51" s="173"/>
      <c r="D51" s="172" t="s">
        <v>1452</v>
      </c>
      <c r="E51" s="172"/>
      <c r="F51" s="172"/>
      <c r="G51" s="172"/>
      <c r="H51" s="172"/>
      <c r="I51" s="251"/>
      <c r="J51" s="252"/>
      <c r="K51" s="234"/>
    </row>
    <row r="52" spans="1:11" x14ac:dyDescent="0.2">
      <c r="A52" s="172"/>
      <c r="B52" s="172"/>
      <c r="C52" s="173"/>
      <c r="D52" s="172" t="s">
        <v>1453</v>
      </c>
      <c r="E52" s="172"/>
      <c r="F52" s="172"/>
      <c r="G52" s="172"/>
      <c r="H52" s="172"/>
      <c r="I52" s="251"/>
      <c r="J52" s="252"/>
      <c r="K52" s="234"/>
    </row>
    <row r="53" spans="1:11" ht="17" thickBot="1" x14ac:dyDescent="0.25">
      <c r="A53" s="172"/>
      <c r="B53" s="172"/>
      <c r="C53" s="173"/>
      <c r="D53" s="172" t="s">
        <v>1454</v>
      </c>
      <c r="E53" s="172"/>
      <c r="F53" s="172"/>
      <c r="G53" s="172"/>
      <c r="H53" s="172"/>
      <c r="I53" s="253"/>
      <c r="J53" s="254"/>
      <c r="K53" s="234"/>
    </row>
    <row r="54" spans="1:11" ht="17" thickBot="1" x14ac:dyDescent="0.25">
      <c r="A54" s="174" t="s">
        <v>1455</v>
      </c>
      <c r="B54" s="174"/>
      <c r="C54" s="175">
        <v>8</v>
      </c>
      <c r="D54" s="174" t="s">
        <v>1456</v>
      </c>
      <c r="E54" s="174"/>
      <c r="F54" s="174"/>
      <c r="G54" s="174"/>
      <c r="H54" s="174"/>
      <c r="I54" s="255" t="s">
        <v>1473</v>
      </c>
      <c r="J54" s="256"/>
      <c r="K54" s="234"/>
    </row>
    <row r="55" spans="1:11" x14ac:dyDescent="0.2">
      <c r="A55" s="176"/>
      <c r="B55" s="176"/>
      <c r="C55" s="177"/>
      <c r="D55" s="176" t="s">
        <v>1457</v>
      </c>
      <c r="E55" s="176"/>
      <c r="F55" s="176"/>
      <c r="G55" s="176"/>
      <c r="H55" s="176"/>
      <c r="I55" s="257" t="s">
        <v>1474</v>
      </c>
      <c r="J55" s="258"/>
      <c r="K55" s="234"/>
    </row>
    <row r="56" spans="1:11" x14ac:dyDescent="0.2">
      <c r="A56" s="176" t="s">
        <v>1461</v>
      </c>
      <c r="B56" s="176"/>
      <c r="C56" s="177">
        <v>9</v>
      </c>
      <c r="D56" s="176" t="s">
        <v>1458</v>
      </c>
      <c r="E56" s="176"/>
      <c r="F56" s="176"/>
      <c r="G56" s="176"/>
      <c r="H56" s="176"/>
      <c r="I56" s="259"/>
      <c r="J56" s="260"/>
      <c r="K56" s="234"/>
    </row>
    <row r="57" spans="1:11" x14ac:dyDescent="0.2">
      <c r="A57" s="176"/>
      <c r="B57" s="176"/>
      <c r="C57" s="177"/>
      <c r="D57" s="176" t="s">
        <v>1459</v>
      </c>
      <c r="E57" s="176"/>
      <c r="F57" s="176"/>
      <c r="G57" s="176"/>
      <c r="H57" s="176"/>
      <c r="I57" s="259"/>
      <c r="J57" s="260"/>
      <c r="K57" s="234"/>
    </row>
    <row r="58" spans="1:11" ht="17" thickBot="1" x14ac:dyDescent="0.25">
      <c r="A58" s="176"/>
      <c r="B58" s="176"/>
      <c r="C58" s="177"/>
      <c r="D58" s="176" t="s">
        <v>1460</v>
      </c>
      <c r="E58" s="176"/>
      <c r="F58" s="176"/>
      <c r="G58" s="176"/>
      <c r="H58" s="176"/>
      <c r="I58" s="261"/>
      <c r="J58" s="262"/>
      <c r="K58" s="234"/>
    </row>
    <row r="59" spans="1:11" x14ac:dyDescent="0.2">
      <c r="A59" s="178" t="s">
        <v>1462</v>
      </c>
      <c r="B59" s="178"/>
      <c r="C59" s="179">
        <v>10</v>
      </c>
      <c r="D59" s="178" t="s">
        <v>1463</v>
      </c>
      <c r="E59" s="178"/>
      <c r="F59" s="178"/>
      <c r="G59" s="178"/>
      <c r="H59" s="178"/>
      <c r="I59" s="225" t="s">
        <v>1473</v>
      </c>
      <c r="J59" s="226"/>
      <c r="K59" s="234"/>
    </row>
    <row r="60" spans="1:11" ht="17" thickBot="1" x14ac:dyDescent="0.25">
      <c r="A60" s="178"/>
      <c r="B60" s="178"/>
      <c r="C60" s="179"/>
      <c r="D60" s="178" t="s">
        <v>1464</v>
      </c>
      <c r="E60" s="178"/>
      <c r="F60" s="178"/>
      <c r="G60" s="178"/>
      <c r="H60" s="178"/>
      <c r="I60" s="227"/>
      <c r="J60" s="228"/>
      <c r="K60" s="234"/>
    </row>
    <row r="61" spans="1:11" x14ac:dyDescent="0.2">
      <c r="A61" s="180" t="s">
        <v>1465</v>
      </c>
      <c r="B61" s="180"/>
      <c r="C61" s="181">
        <v>10</v>
      </c>
      <c r="D61" s="180" t="s">
        <v>1466</v>
      </c>
      <c r="E61" s="180"/>
      <c r="F61" s="180"/>
      <c r="G61" s="180"/>
      <c r="H61" s="180"/>
      <c r="I61" s="229" t="s">
        <v>1473</v>
      </c>
      <c r="J61" s="230"/>
      <c r="K61" s="234"/>
    </row>
    <row r="62" spans="1:11" ht="17" thickBot="1" x14ac:dyDescent="0.25">
      <c r="A62" s="180"/>
      <c r="B62" s="180"/>
      <c r="C62" s="181"/>
      <c r="D62" s="180" t="s">
        <v>1467</v>
      </c>
      <c r="E62" s="180"/>
      <c r="F62" s="180"/>
      <c r="G62" s="180"/>
      <c r="H62" s="180"/>
      <c r="I62" s="231"/>
      <c r="J62" s="232"/>
      <c r="K62" s="235"/>
    </row>
    <row r="64" spans="1:11" x14ac:dyDescent="0.2">
      <c r="A64" s="182" t="s">
        <v>1479</v>
      </c>
      <c r="B64" s="182"/>
      <c r="C64" s="182"/>
      <c r="D64" s="182"/>
      <c r="E64" s="182"/>
      <c r="F64" s="182"/>
      <c r="G64" s="182"/>
      <c r="H64" s="182"/>
      <c r="I64" s="182"/>
      <c r="J64" s="182"/>
    </row>
    <row r="65" spans="1:10" x14ac:dyDescent="0.2">
      <c r="A65" s="1" t="s">
        <v>1480</v>
      </c>
    </row>
    <row r="66" spans="1:10" x14ac:dyDescent="0.2">
      <c r="A66" s="1" t="s">
        <v>1481</v>
      </c>
    </row>
    <row r="67" spans="1:10" x14ac:dyDescent="0.2">
      <c r="A67" s="1" t="s">
        <v>1482</v>
      </c>
    </row>
    <row r="68" spans="1:10" x14ac:dyDescent="0.2">
      <c r="A68" s="1" t="s">
        <v>1483</v>
      </c>
    </row>
    <row r="69" spans="1:10" x14ac:dyDescent="0.2">
      <c r="A69" s="1" t="s">
        <v>1484</v>
      </c>
    </row>
    <row r="70" spans="1:10" x14ac:dyDescent="0.2">
      <c r="A70" s="1" t="s">
        <v>1485</v>
      </c>
    </row>
    <row r="71" spans="1:10" x14ac:dyDescent="0.2">
      <c r="A71" s="1" t="s">
        <v>1486</v>
      </c>
    </row>
    <row r="72" spans="1:10" x14ac:dyDescent="0.2">
      <c r="A72" s="1" t="s">
        <v>1487</v>
      </c>
    </row>
    <row r="74" spans="1:10" x14ac:dyDescent="0.2">
      <c r="A74" s="1" t="s">
        <v>27</v>
      </c>
    </row>
    <row r="76" spans="1:10" x14ac:dyDescent="0.2">
      <c r="A76" s="1" t="s">
        <v>1488</v>
      </c>
    </row>
    <row r="77" spans="1:10" x14ac:dyDescent="0.2">
      <c r="A77" s="1" t="s">
        <v>1489</v>
      </c>
    </row>
    <row r="78" spans="1:10" x14ac:dyDescent="0.2">
      <c r="A78" s="1" t="s">
        <v>1490</v>
      </c>
      <c r="J78" s="1" t="s">
        <v>1510</v>
      </c>
    </row>
    <row r="79" spans="1:10" x14ac:dyDescent="0.2">
      <c r="J79" s="2" t="s">
        <v>1511</v>
      </c>
    </row>
    <row r="80" spans="1:10" x14ac:dyDescent="0.2">
      <c r="C80" s="187" t="s">
        <v>849</v>
      </c>
      <c r="D80" s="186"/>
      <c r="E80" s="186"/>
      <c r="F80" s="186"/>
      <c r="J80" s="1" t="s">
        <v>1512</v>
      </c>
    </row>
    <row r="81" spans="1:10" x14ac:dyDescent="0.2">
      <c r="C81" s="187" t="s">
        <v>1507</v>
      </c>
      <c r="D81" s="186"/>
      <c r="E81" s="186"/>
      <c r="F81" s="186"/>
      <c r="J81" s="1" t="s">
        <v>1513</v>
      </c>
    </row>
    <row r="82" spans="1:10" x14ac:dyDescent="0.2">
      <c r="C82" s="187" t="s">
        <v>1508</v>
      </c>
      <c r="D82" s="186"/>
      <c r="E82" s="186"/>
      <c r="F82" s="186"/>
      <c r="J82" s="1" t="s">
        <v>1514</v>
      </c>
    </row>
    <row r="83" spans="1:10" x14ac:dyDescent="0.2">
      <c r="C83" s="187" t="s">
        <v>1502</v>
      </c>
      <c r="D83" s="187" t="s">
        <v>1501</v>
      </c>
      <c r="E83" s="186"/>
      <c r="F83" s="186"/>
      <c r="J83" s="1" t="s">
        <v>1515</v>
      </c>
    </row>
    <row r="84" spans="1:10" x14ac:dyDescent="0.2">
      <c r="C84" s="187" t="s">
        <v>1503</v>
      </c>
      <c r="D84" s="187" t="s">
        <v>1498</v>
      </c>
      <c r="E84" s="187" t="s">
        <v>998</v>
      </c>
      <c r="F84" s="186" t="s">
        <v>1494</v>
      </c>
      <c r="J84" s="1" t="s">
        <v>1516</v>
      </c>
    </row>
    <row r="85" spans="1:10" x14ac:dyDescent="0.2">
      <c r="C85" s="187" t="s">
        <v>1504</v>
      </c>
      <c r="D85" s="187" t="s">
        <v>1499</v>
      </c>
      <c r="E85" s="187" t="s">
        <v>1495</v>
      </c>
      <c r="F85" s="186" t="s">
        <v>1491</v>
      </c>
      <c r="J85" s="1" t="s">
        <v>1517</v>
      </c>
    </row>
    <row r="86" spans="1:10" x14ac:dyDescent="0.2">
      <c r="C86" s="187" t="s">
        <v>1505</v>
      </c>
      <c r="D86" s="187" t="s">
        <v>41</v>
      </c>
      <c r="E86" s="187" t="s">
        <v>1496</v>
      </c>
      <c r="F86" s="186" t="s">
        <v>1492</v>
      </c>
      <c r="J86" s="1" t="s">
        <v>1518</v>
      </c>
    </row>
    <row r="87" spans="1:10" x14ac:dyDescent="0.2">
      <c r="C87" s="188" t="s">
        <v>1506</v>
      </c>
      <c r="D87" s="188" t="s">
        <v>1500</v>
      </c>
      <c r="E87" s="188" t="s">
        <v>1497</v>
      </c>
      <c r="F87" s="189" t="s">
        <v>1493</v>
      </c>
      <c r="G87" s="58" t="s">
        <v>177</v>
      </c>
    </row>
    <row r="88" spans="1:10" x14ac:dyDescent="0.2">
      <c r="C88" s="12">
        <f>3*4</f>
        <v>12</v>
      </c>
      <c r="D88" s="12">
        <v>24</v>
      </c>
      <c r="E88" s="12">
        <f>2*12</f>
        <v>24</v>
      </c>
      <c r="F88" s="12">
        <f>2*12</f>
        <v>24</v>
      </c>
      <c r="G88" s="1" t="s">
        <v>45</v>
      </c>
      <c r="J88" s="2" t="s">
        <v>1519</v>
      </c>
    </row>
    <row r="89" spans="1:10" x14ac:dyDescent="0.2">
      <c r="C89" s="183">
        <f>((1+15%)^(1/4)-1)*100</f>
        <v>3.5558076341622114</v>
      </c>
      <c r="D89" s="183">
        <f>E89</f>
        <v>1.171491691985338</v>
      </c>
      <c r="E89" s="183">
        <f>((1+15%)^(1/12)-1)*100</f>
        <v>1.171491691985338</v>
      </c>
      <c r="F89" s="12">
        <f>((1+10%)^(1/12)-1)*100</f>
        <v>0.79741404289037643</v>
      </c>
      <c r="G89" s="1" t="s">
        <v>42</v>
      </c>
      <c r="J89" s="1" t="s">
        <v>1520</v>
      </c>
    </row>
    <row r="90" spans="1:10" x14ac:dyDescent="0.2">
      <c r="C90" s="184">
        <f>-D92-50000</f>
        <v>-214934.81980163525</v>
      </c>
      <c r="D90" s="96">
        <f>-E92</f>
        <v>-124714.41950974279</v>
      </c>
      <c r="E90" s="42">
        <f>-F92</f>
        <v>-52670.253771507851</v>
      </c>
      <c r="F90" s="12">
        <v>0</v>
      </c>
      <c r="G90" s="1" t="s">
        <v>39</v>
      </c>
      <c r="J90" s="1" t="s">
        <v>1521</v>
      </c>
    </row>
    <row r="91" spans="1:10" x14ac:dyDescent="0.2">
      <c r="C91" s="12">
        <v>-4000</v>
      </c>
      <c r="D91" s="12">
        <v>0</v>
      </c>
      <c r="E91" s="12">
        <v>-2000</v>
      </c>
      <c r="F91" s="12">
        <v>-2000</v>
      </c>
      <c r="G91" s="1" t="s">
        <v>47</v>
      </c>
      <c r="J91" s="1" t="s">
        <v>1522</v>
      </c>
    </row>
    <row r="92" spans="1:10" x14ac:dyDescent="0.2">
      <c r="C92" s="185">
        <f>FV(C89/100,C88,C91,C90)</f>
        <v>385483.27740057121</v>
      </c>
      <c r="D92" s="184">
        <f>FV(D89/100,D88,D91,D90)</f>
        <v>164934.81980163525</v>
      </c>
      <c r="E92" s="96">
        <f>FV(E89/100,E88,E91,E90)</f>
        <v>124714.41950974279</v>
      </c>
      <c r="F92" s="42">
        <f>FV(F89/100,F88,F91,F90)</f>
        <v>52670.253771507851</v>
      </c>
      <c r="G92" s="1" t="s">
        <v>50</v>
      </c>
      <c r="H92" s="1" t="s">
        <v>818</v>
      </c>
      <c r="J92" s="1" t="s">
        <v>1523</v>
      </c>
    </row>
    <row r="93" spans="1:10" x14ac:dyDescent="0.2">
      <c r="J93" s="1" t="s">
        <v>1524</v>
      </c>
    </row>
    <row r="94" spans="1:10" x14ac:dyDescent="0.2">
      <c r="A94" s="2" t="s">
        <v>1509</v>
      </c>
      <c r="J94" s="1" t="s">
        <v>1525</v>
      </c>
    </row>
    <row r="95" spans="1:10" x14ac:dyDescent="0.2">
      <c r="J95" s="1" t="s">
        <v>1526</v>
      </c>
    </row>
    <row r="96" spans="1:10" x14ac:dyDescent="0.2">
      <c r="J96" s="1" t="s">
        <v>1527</v>
      </c>
    </row>
    <row r="97" spans="1:10" x14ac:dyDescent="0.2">
      <c r="J97" s="1" t="s">
        <v>1528</v>
      </c>
    </row>
    <row r="98" spans="1:10" x14ac:dyDescent="0.2">
      <c r="J98" s="1" t="s">
        <v>1530</v>
      </c>
    </row>
    <row r="99" spans="1:10" x14ac:dyDescent="0.2">
      <c r="J99" s="1" t="s">
        <v>1529</v>
      </c>
    </row>
    <row r="101" spans="1:10" x14ac:dyDescent="0.2">
      <c r="A101" s="191" t="s">
        <v>1531</v>
      </c>
      <c r="B101" s="190"/>
      <c r="C101" s="190"/>
      <c r="D101" s="190"/>
      <c r="E101" s="190"/>
      <c r="F101" s="190"/>
      <c r="G101" s="190"/>
      <c r="H101" s="190"/>
    </row>
    <row r="102" spans="1:10" x14ac:dyDescent="0.2">
      <c r="A102" s="1" t="s">
        <v>1532</v>
      </c>
    </row>
    <row r="103" spans="1:10" x14ac:dyDescent="0.2">
      <c r="A103" s="1" t="s">
        <v>1533</v>
      </c>
    </row>
    <row r="104" spans="1:10" x14ac:dyDescent="0.2">
      <c r="A104" s="1" t="s">
        <v>1534</v>
      </c>
    </row>
    <row r="105" spans="1:10" x14ac:dyDescent="0.2">
      <c r="A105" s="1" t="s">
        <v>1535</v>
      </c>
    </row>
    <row r="106" spans="1:10" x14ac:dyDescent="0.2">
      <c r="A106" s="1" t="s">
        <v>1536</v>
      </c>
    </row>
    <row r="108" spans="1:10" x14ac:dyDescent="0.2">
      <c r="A108" s="1" t="s">
        <v>1537</v>
      </c>
    </row>
    <row r="109" spans="1:10" x14ac:dyDescent="0.2">
      <c r="A109" s="1" t="s">
        <v>1538</v>
      </c>
    </row>
    <row r="110" spans="1:10" x14ac:dyDescent="0.2">
      <c r="A110" s="1" t="s">
        <v>1549</v>
      </c>
    </row>
    <row r="112" spans="1:10" x14ac:dyDescent="0.2">
      <c r="A112" s="1" t="s">
        <v>27</v>
      </c>
    </row>
    <row r="114" spans="1:8" x14ac:dyDescent="0.2">
      <c r="A114" s="2" t="s">
        <v>1555</v>
      </c>
    </row>
    <row r="115" spans="1:8" x14ac:dyDescent="0.2">
      <c r="A115" s="1" t="s">
        <v>1539</v>
      </c>
    </row>
    <row r="116" spans="1:8" x14ac:dyDescent="0.2">
      <c r="A116" s="1" t="s">
        <v>1540</v>
      </c>
    </row>
    <row r="118" spans="1:8" x14ac:dyDescent="0.2">
      <c r="E118" s="1">
        <v>20</v>
      </c>
      <c r="F118" s="1" t="s">
        <v>45</v>
      </c>
      <c r="G118" s="1" t="s">
        <v>1541</v>
      </c>
    </row>
    <row r="119" spans="1:8" x14ac:dyDescent="0.2">
      <c r="E119" s="192">
        <f>RATE(E118,E121,E120,E122)*100</f>
        <v>0.80759584087683833</v>
      </c>
      <c r="F119" s="1" t="s">
        <v>42</v>
      </c>
      <c r="G119" s="12" t="s">
        <v>51</v>
      </c>
      <c r="H119" s="1" t="s">
        <v>1546</v>
      </c>
    </row>
    <row r="120" spans="1:8" x14ac:dyDescent="0.2">
      <c r="D120" s="1" t="s">
        <v>1543</v>
      </c>
      <c r="E120" s="1">
        <f>100000*0.92</f>
        <v>92000</v>
      </c>
      <c r="F120" s="1" t="s">
        <v>39</v>
      </c>
      <c r="G120" s="1" t="s">
        <v>1542</v>
      </c>
    </row>
    <row r="121" spans="1:8" x14ac:dyDescent="0.2">
      <c r="E121" s="1">
        <v>-5000</v>
      </c>
      <c r="F121" s="1" t="s">
        <v>47</v>
      </c>
      <c r="G121" s="1" t="s">
        <v>1544</v>
      </c>
    </row>
    <row r="122" spans="1:8" x14ac:dyDescent="0.2">
      <c r="E122" s="1">
        <v>0</v>
      </c>
      <c r="F122" s="1" t="s">
        <v>50</v>
      </c>
      <c r="G122" s="1" t="s">
        <v>1545</v>
      </c>
    </row>
    <row r="124" spans="1:8" x14ac:dyDescent="0.2">
      <c r="A124" s="1" t="s">
        <v>1547</v>
      </c>
    </row>
    <row r="125" spans="1:8" x14ac:dyDescent="0.2">
      <c r="B125" s="2" t="s">
        <v>1548</v>
      </c>
      <c r="C125" s="2"/>
      <c r="D125" s="2"/>
      <c r="F125" s="193">
        <f>(1+0.807596%)^12-1</f>
        <v>0.10133412678184484</v>
      </c>
    </row>
    <row r="127" spans="1:8" x14ac:dyDescent="0.2">
      <c r="A127" s="2" t="s">
        <v>1550</v>
      </c>
      <c r="B127" s="1" t="s">
        <v>1551</v>
      </c>
      <c r="D127" s="194">
        <v>0.10133399999999999</v>
      </c>
    </row>
    <row r="128" spans="1:8" x14ac:dyDescent="0.2">
      <c r="B128" s="1" t="s">
        <v>1552</v>
      </c>
      <c r="D128" s="156">
        <v>0.1</v>
      </c>
    </row>
    <row r="130" spans="1:8" x14ac:dyDescent="0.2">
      <c r="B130" s="2" t="s">
        <v>1553</v>
      </c>
    </row>
    <row r="131" spans="1:8" x14ac:dyDescent="0.2">
      <c r="B131" s="2" t="s">
        <v>1554</v>
      </c>
    </row>
    <row r="133" spans="1:8" x14ac:dyDescent="0.2">
      <c r="A133" s="191" t="s">
        <v>1531</v>
      </c>
      <c r="B133" s="190"/>
      <c r="C133" s="190"/>
      <c r="D133" s="190"/>
      <c r="E133" s="190"/>
      <c r="F133" s="190"/>
      <c r="G133" s="190"/>
      <c r="H133" s="190"/>
    </row>
    <row r="134" spans="1:8" x14ac:dyDescent="0.2">
      <c r="A134" s="1" t="s">
        <v>1558</v>
      </c>
    </row>
    <row r="135" spans="1:8" x14ac:dyDescent="0.2">
      <c r="A135" s="1" t="s">
        <v>1556</v>
      </c>
    </row>
    <row r="136" spans="1:8" x14ac:dyDescent="0.2">
      <c r="A136" s="1" t="s">
        <v>1557</v>
      </c>
    </row>
    <row r="137" spans="1:8" x14ac:dyDescent="0.2">
      <c r="A137" s="1" t="s">
        <v>723</v>
      </c>
    </row>
    <row r="138" spans="1:8" x14ac:dyDescent="0.2">
      <c r="A138" s="1" t="s">
        <v>1559</v>
      </c>
    </row>
    <row r="139" spans="1:8" x14ac:dyDescent="0.2">
      <c r="A139" s="1" t="s">
        <v>1560</v>
      </c>
    </row>
    <row r="140" spans="1:8" x14ac:dyDescent="0.2">
      <c r="A140" s="1" t="s">
        <v>1561</v>
      </c>
    </row>
    <row r="141" spans="1:8" x14ac:dyDescent="0.2">
      <c r="A141" s="1" t="s">
        <v>1562</v>
      </c>
    </row>
    <row r="143" spans="1:8" x14ac:dyDescent="0.2">
      <c r="A143" s="2" t="s">
        <v>27</v>
      </c>
    </row>
    <row r="145" spans="1:9" x14ac:dyDescent="0.2">
      <c r="A145" s="81" t="s">
        <v>1559</v>
      </c>
    </row>
    <row r="146" spans="1:9" x14ac:dyDescent="0.2">
      <c r="A146" s="1" t="s">
        <v>1563</v>
      </c>
    </row>
    <row r="147" spans="1:9" x14ac:dyDescent="0.2">
      <c r="A147" s="1" t="s">
        <v>1564</v>
      </c>
    </row>
    <row r="149" spans="1:9" x14ac:dyDescent="0.2">
      <c r="A149" s="1" t="s">
        <v>1569</v>
      </c>
      <c r="F149" s="58"/>
      <c r="G149" s="58" t="s">
        <v>177</v>
      </c>
    </row>
    <row r="150" spans="1:9" x14ac:dyDescent="0.2">
      <c r="A150" s="1" t="s">
        <v>1570</v>
      </c>
      <c r="F150" s="12">
        <f>30*12</f>
        <v>360</v>
      </c>
      <c r="G150" s="1" t="s">
        <v>45</v>
      </c>
      <c r="H150" s="1" t="s">
        <v>1565</v>
      </c>
    </row>
    <row r="151" spans="1:9" x14ac:dyDescent="0.2">
      <c r="A151" s="1" t="s">
        <v>1571</v>
      </c>
      <c r="F151" s="12">
        <f>((1+8%)^(1/12)-1)*100</f>
        <v>0.64340301100034303</v>
      </c>
      <c r="G151" s="1" t="s">
        <v>42</v>
      </c>
      <c r="H151" s="1" t="s">
        <v>1566</v>
      </c>
    </row>
    <row r="152" spans="1:9" x14ac:dyDescent="0.2">
      <c r="F152" s="12">
        <v>800000</v>
      </c>
      <c r="G152" s="1" t="s">
        <v>39</v>
      </c>
      <c r="H152" s="1" t="s">
        <v>692</v>
      </c>
    </row>
    <row r="153" spans="1:9" x14ac:dyDescent="0.2">
      <c r="D153" s="59" t="s">
        <v>1200</v>
      </c>
      <c r="F153" s="42">
        <f>PMT(F151/100,F150,F152)</f>
        <v>-5715.1838100803443</v>
      </c>
      <c r="G153" s="1" t="s">
        <v>47</v>
      </c>
      <c r="H153" s="1" t="s">
        <v>51</v>
      </c>
      <c r="I153" s="2" t="s">
        <v>1568</v>
      </c>
    </row>
    <row r="154" spans="1:9" x14ac:dyDescent="0.2">
      <c r="C154" s="12">
        <v>1</v>
      </c>
      <c r="D154" s="12" t="s">
        <v>1251</v>
      </c>
      <c r="F154" s="12">
        <v>0</v>
      </c>
      <c r="G154" s="1" t="s">
        <v>50</v>
      </c>
      <c r="H154" s="1" t="s">
        <v>1567</v>
      </c>
    </row>
    <row r="155" spans="1:9" x14ac:dyDescent="0.2">
      <c r="C155" s="12">
        <v>12</v>
      </c>
      <c r="D155" s="12" t="s">
        <v>1252</v>
      </c>
    </row>
    <row r="156" spans="1:9" ht="17" thickBot="1" x14ac:dyDescent="0.25"/>
    <row r="157" spans="1:9" x14ac:dyDescent="0.2">
      <c r="C157" s="159">
        <v>-61520.26</v>
      </c>
      <c r="E157" s="12" t="s">
        <v>51</v>
      </c>
    </row>
    <row r="158" spans="1:9" x14ac:dyDescent="0.2">
      <c r="C158" s="195" t="s">
        <v>1572</v>
      </c>
    </row>
    <row r="159" spans="1:9" x14ac:dyDescent="0.2">
      <c r="C159" s="195" t="s">
        <v>1573</v>
      </c>
    </row>
    <row r="160" spans="1:9" x14ac:dyDescent="0.2">
      <c r="C160" s="195" t="s">
        <v>1575</v>
      </c>
    </row>
    <row r="161" spans="1:11" ht="17" thickBot="1" x14ac:dyDescent="0.25">
      <c r="C161" s="44" t="s">
        <v>1574</v>
      </c>
    </row>
    <row r="163" spans="1:11" x14ac:dyDescent="0.2">
      <c r="A163" s="81" t="s">
        <v>1560</v>
      </c>
    </row>
    <row r="164" spans="1:11" x14ac:dyDescent="0.2">
      <c r="A164" s="1" t="s">
        <v>1576</v>
      </c>
      <c r="G164" s="1">
        <f>12*12</f>
        <v>144</v>
      </c>
      <c r="J164" s="59" t="s">
        <v>1200</v>
      </c>
    </row>
    <row r="165" spans="1:11" x14ac:dyDescent="0.2">
      <c r="I165" s="12">
        <v>144</v>
      </c>
      <c r="J165" s="12" t="s">
        <v>1251</v>
      </c>
    </row>
    <row r="166" spans="1:11" x14ac:dyDescent="0.2">
      <c r="I166" s="12">
        <v>144</v>
      </c>
      <c r="J166" s="12" t="s">
        <v>1252</v>
      </c>
    </row>
    <row r="167" spans="1:11" ht="17" thickBot="1" x14ac:dyDescent="0.25"/>
    <row r="168" spans="1:11" x14ac:dyDescent="0.2">
      <c r="I168" s="159">
        <v>665984.54</v>
      </c>
      <c r="K168" s="12" t="s">
        <v>51</v>
      </c>
    </row>
    <row r="169" spans="1:11" x14ac:dyDescent="0.2">
      <c r="I169" s="195" t="s">
        <v>1577</v>
      </c>
    </row>
    <row r="170" spans="1:11" x14ac:dyDescent="0.2">
      <c r="I170" s="195" t="s">
        <v>1578</v>
      </c>
    </row>
    <row r="171" spans="1:11" x14ac:dyDescent="0.2">
      <c r="I171" s="195" t="s">
        <v>1583</v>
      </c>
    </row>
    <row r="172" spans="1:11" ht="17" thickBot="1" x14ac:dyDescent="0.25">
      <c r="I172" s="44" t="s">
        <v>1579</v>
      </c>
    </row>
    <row r="174" spans="1:11" x14ac:dyDescent="0.2">
      <c r="A174" s="81" t="s">
        <v>1580</v>
      </c>
      <c r="B174" s="81"/>
      <c r="C174" s="81"/>
      <c r="D174" s="81"/>
      <c r="E174" s="81"/>
      <c r="F174" s="81"/>
      <c r="G174" s="81"/>
      <c r="H174" s="81"/>
    </row>
    <row r="176" spans="1:11" x14ac:dyDescent="0.2">
      <c r="A176" s="1" t="s">
        <v>1581</v>
      </c>
      <c r="G176" s="1">
        <f>14*12</f>
        <v>168</v>
      </c>
      <c r="J176" s="59" t="s">
        <v>1200</v>
      </c>
    </row>
    <row r="177" spans="1:11" x14ac:dyDescent="0.2">
      <c r="I177" s="12">
        <v>168</v>
      </c>
      <c r="J177" s="12" t="s">
        <v>1251</v>
      </c>
    </row>
    <row r="178" spans="1:11" x14ac:dyDescent="0.2">
      <c r="I178" s="12">
        <f>I177</f>
        <v>168</v>
      </c>
      <c r="J178" s="12" t="s">
        <v>1252</v>
      </c>
    </row>
    <row r="179" spans="1:11" ht="17" thickBot="1" x14ac:dyDescent="0.25"/>
    <row r="180" spans="1:11" x14ac:dyDescent="0.2">
      <c r="G180" s="1" t="s">
        <v>1584</v>
      </c>
      <c r="I180" s="159">
        <v>628994.14</v>
      </c>
      <c r="K180" s="12" t="s">
        <v>51</v>
      </c>
    </row>
    <row r="181" spans="1:11" x14ac:dyDescent="0.2">
      <c r="I181" s="195" t="s">
        <v>1577</v>
      </c>
    </row>
    <row r="182" spans="1:11" x14ac:dyDescent="0.2">
      <c r="I182" s="195" t="s">
        <v>1578</v>
      </c>
    </row>
    <row r="183" spans="1:11" x14ac:dyDescent="0.2">
      <c r="I183" s="195" t="s">
        <v>1582</v>
      </c>
    </row>
    <row r="184" spans="1:11" ht="17" thickBot="1" x14ac:dyDescent="0.25">
      <c r="I184" s="44" t="s">
        <v>1579</v>
      </c>
    </row>
    <row r="186" spans="1:11" x14ac:dyDescent="0.2">
      <c r="A186" s="1" t="s">
        <v>1585</v>
      </c>
    </row>
    <row r="189" spans="1:11" x14ac:dyDescent="0.2">
      <c r="A189" s="1" t="s">
        <v>1586</v>
      </c>
      <c r="F189" s="236">
        <f>628994.14*109.5/104</f>
        <v>662258.2531730769</v>
      </c>
    </row>
    <row r="190" spans="1:11" x14ac:dyDescent="0.2">
      <c r="F190" s="236"/>
    </row>
  </sheetData>
  <mergeCells count="9">
    <mergeCell ref="I59:J60"/>
    <mergeCell ref="I61:J62"/>
    <mergeCell ref="K34:K62"/>
    <mergeCell ref="F189:F190"/>
    <mergeCell ref="I34:J41"/>
    <mergeCell ref="I42:J47"/>
    <mergeCell ref="I48:J53"/>
    <mergeCell ref="I54:J54"/>
    <mergeCell ref="I55:J5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A21FC-4C40-3A4E-A55E-D8FAC0634CDC}">
  <dimension ref="A1:I469"/>
  <sheetViews>
    <sheetView rightToLeft="1" tabSelected="1" topLeftCell="A283" zoomScale="300" workbookViewId="0">
      <selection activeCell="C292" sqref="C2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1629</v>
      </c>
      <c r="B1" s="29"/>
      <c r="C1" s="29"/>
      <c r="D1" s="29"/>
      <c r="E1" s="29"/>
      <c r="F1" s="29"/>
      <c r="G1" s="29"/>
      <c r="H1" s="29"/>
    </row>
    <row r="2" spans="1:8" ht="17" thickBot="1" x14ac:dyDescent="0.25"/>
    <row r="3" spans="1:8" x14ac:dyDescent="0.2">
      <c r="A3" s="30" t="s">
        <v>164</v>
      </c>
      <c r="B3" s="31"/>
      <c r="C3" s="31"/>
      <c r="D3" s="31"/>
      <c r="E3" s="31"/>
      <c r="F3" s="31"/>
      <c r="G3" s="31"/>
      <c r="H3" s="23"/>
    </row>
    <row r="4" spans="1:8" x14ac:dyDescent="0.2">
      <c r="A4" s="24" t="s">
        <v>165</v>
      </c>
      <c r="H4" s="25"/>
    </row>
    <row r="5" spans="1:8" x14ac:dyDescent="0.2">
      <c r="A5" s="24" t="s">
        <v>166</v>
      </c>
      <c r="H5" s="25"/>
    </row>
    <row r="6" spans="1:8" x14ac:dyDescent="0.2">
      <c r="A6" s="24" t="s">
        <v>167</v>
      </c>
      <c r="H6" s="25"/>
    </row>
    <row r="7" spans="1:8" x14ac:dyDescent="0.2">
      <c r="A7" s="24" t="s">
        <v>168</v>
      </c>
      <c r="H7" s="25"/>
    </row>
    <row r="8" spans="1:8" x14ac:dyDescent="0.2">
      <c r="A8" s="24" t="s">
        <v>169</v>
      </c>
      <c r="H8" s="25"/>
    </row>
    <row r="9" spans="1:8" x14ac:dyDescent="0.2">
      <c r="A9" s="24" t="s">
        <v>170</v>
      </c>
      <c r="H9" s="25"/>
    </row>
    <row r="10" spans="1:8" ht="17" thickBot="1" x14ac:dyDescent="0.25">
      <c r="A10" s="26" t="s">
        <v>171</v>
      </c>
      <c r="B10" s="27"/>
      <c r="C10" s="27"/>
      <c r="D10" s="27"/>
      <c r="E10" s="27"/>
      <c r="F10" s="27"/>
      <c r="G10" s="27"/>
      <c r="H10" s="28"/>
    </row>
    <row r="12" spans="1:8" x14ac:dyDescent="0.2">
      <c r="A12" s="38" t="s">
        <v>172</v>
      </c>
      <c r="B12" s="39"/>
      <c r="C12" s="39"/>
      <c r="D12" s="39"/>
      <c r="E12" s="39"/>
      <c r="F12" s="39"/>
      <c r="G12" s="39"/>
      <c r="H12" s="39"/>
    </row>
    <row r="13" spans="1:8" x14ac:dyDescent="0.2">
      <c r="A13" s="1" t="s">
        <v>176</v>
      </c>
    </row>
    <row r="15" spans="1:8" x14ac:dyDescent="0.2">
      <c r="C15" s="1" t="s">
        <v>1630</v>
      </c>
      <c r="F15" s="32" t="s">
        <v>173</v>
      </c>
    </row>
    <row r="16" spans="1:8" x14ac:dyDescent="0.2">
      <c r="F16" s="12">
        <v>9</v>
      </c>
    </row>
    <row r="17" spans="1:8" x14ac:dyDescent="0.2">
      <c r="F17" s="33" t="s">
        <v>1631</v>
      </c>
    </row>
    <row r="18" spans="1:8" x14ac:dyDescent="0.2">
      <c r="C18" s="1" t="s">
        <v>1632</v>
      </c>
      <c r="F18" s="12" t="s">
        <v>174</v>
      </c>
    </row>
    <row r="19" spans="1:8" x14ac:dyDescent="0.2">
      <c r="C19" s="1" t="s">
        <v>1633</v>
      </c>
      <c r="F19" s="12" t="s">
        <v>175</v>
      </c>
    </row>
    <row r="21" spans="1:8" x14ac:dyDescent="0.2">
      <c r="A21" s="1" t="s">
        <v>189</v>
      </c>
    </row>
    <row r="23" spans="1:8" x14ac:dyDescent="0.2">
      <c r="C23" s="1" t="s">
        <v>1634</v>
      </c>
      <c r="F23" s="32" t="s">
        <v>177</v>
      </c>
    </row>
    <row r="24" spans="1:8" x14ac:dyDescent="0.2">
      <c r="A24" s="1" t="s">
        <v>180</v>
      </c>
      <c r="E24" s="12" t="s">
        <v>179</v>
      </c>
      <c r="F24" s="12" t="s">
        <v>178</v>
      </c>
    </row>
    <row r="25" spans="1:8" x14ac:dyDescent="0.2">
      <c r="A25" s="1" t="s">
        <v>194</v>
      </c>
      <c r="E25" s="12" t="s">
        <v>182</v>
      </c>
      <c r="F25" s="12" t="s">
        <v>45</v>
      </c>
    </row>
    <row r="26" spans="1:8" x14ac:dyDescent="0.2">
      <c r="A26" s="1" t="s">
        <v>184</v>
      </c>
      <c r="E26" s="12" t="s">
        <v>182</v>
      </c>
      <c r="F26" s="12" t="s">
        <v>42</v>
      </c>
    </row>
    <row r="27" spans="1:8" x14ac:dyDescent="0.2">
      <c r="A27" s="33" t="s">
        <v>186</v>
      </c>
      <c r="B27" s="12"/>
      <c r="C27" s="12"/>
      <c r="D27" s="12"/>
      <c r="E27" s="12" t="s">
        <v>182</v>
      </c>
      <c r="F27" s="12" t="s">
        <v>39</v>
      </c>
      <c r="H27" s="1" t="s">
        <v>185</v>
      </c>
    </row>
    <row r="28" spans="1:8" x14ac:dyDescent="0.2">
      <c r="A28" s="1" t="s">
        <v>1635</v>
      </c>
      <c r="E28" s="12">
        <v>0</v>
      </c>
      <c r="F28" s="12" t="s">
        <v>47</v>
      </c>
    </row>
    <row r="29" spans="1:8" x14ac:dyDescent="0.2">
      <c r="A29" s="1" t="s">
        <v>188</v>
      </c>
      <c r="E29" s="12" t="s">
        <v>52</v>
      </c>
      <c r="F29" s="12" t="s">
        <v>50</v>
      </c>
      <c r="G29" s="34" t="s">
        <v>51</v>
      </c>
      <c r="H29" s="1" t="s">
        <v>187</v>
      </c>
    </row>
    <row r="31" spans="1:8" x14ac:dyDescent="0.2">
      <c r="A31" s="2" t="s">
        <v>190</v>
      </c>
    </row>
    <row r="33" spans="1:8" x14ac:dyDescent="0.2">
      <c r="F33" s="32" t="s">
        <v>177</v>
      </c>
    </row>
    <row r="34" spans="1:8" x14ac:dyDescent="0.2">
      <c r="A34" s="1" t="s">
        <v>191</v>
      </c>
      <c r="E34" s="12" t="s">
        <v>179</v>
      </c>
      <c r="F34" s="12" t="s">
        <v>178</v>
      </c>
      <c r="G34" s="1" t="s">
        <v>192</v>
      </c>
    </row>
    <row r="35" spans="1:8" x14ac:dyDescent="0.2">
      <c r="A35" s="1" t="s">
        <v>193</v>
      </c>
      <c r="E35" s="12" t="s">
        <v>182</v>
      </c>
      <c r="F35" s="12" t="s">
        <v>45</v>
      </c>
    </row>
    <row r="36" spans="1:8" x14ac:dyDescent="0.2">
      <c r="A36" s="1" t="s">
        <v>195</v>
      </c>
      <c r="E36" s="12" t="s">
        <v>182</v>
      </c>
      <c r="F36" s="12" t="s">
        <v>42</v>
      </c>
    </row>
    <row r="37" spans="1:8" x14ac:dyDescent="0.2">
      <c r="A37" s="33" t="s">
        <v>196</v>
      </c>
      <c r="B37" s="12"/>
      <c r="C37" s="12"/>
      <c r="D37" s="12"/>
      <c r="E37" s="12" t="s">
        <v>182</v>
      </c>
      <c r="F37" s="12" t="s">
        <v>39</v>
      </c>
      <c r="G37" s="1" t="s">
        <v>197</v>
      </c>
    </row>
    <row r="38" spans="1:8" x14ac:dyDescent="0.2">
      <c r="A38" s="1" t="s">
        <v>198</v>
      </c>
      <c r="E38" s="12" t="s">
        <v>182</v>
      </c>
      <c r="F38" s="12" t="s">
        <v>47</v>
      </c>
    </row>
    <row r="39" spans="1:8" x14ac:dyDescent="0.2">
      <c r="A39" s="1" t="s">
        <v>188</v>
      </c>
      <c r="E39" s="12" t="s">
        <v>52</v>
      </c>
      <c r="F39" s="12" t="s">
        <v>50</v>
      </c>
      <c r="G39" s="34" t="s">
        <v>51</v>
      </c>
      <c r="H39" s="1" t="s">
        <v>187</v>
      </c>
    </row>
    <row r="41" spans="1:8" x14ac:dyDescent="0.2">
      <c r="A41" s="29" t="s">
        <v>199</v>
      </c>
      <c r="B41" s="29"/>
      <c r="C41" s="29"/>
      <c r="D41" s="29"/>
      <c r="E41" s="29"/>
      <c r="F41" s="29"/>
      <c r="G41" s="29"/>
      <c r="H41" s="29"/>
    </row>
    <row r="43" spans="1:8" x14ac:dyDescent="0.2">
      <c r="A43" s="35" t="s">
        <v>202</v>
      </c>
      <c r="B43" s="35"/>
      <c r="C43" s="35"/>
      <c r="D43" s="35"/>
      <c r="E43" s="35"/>
      <c r="F43" s="35"/>
      <c r="G43" s="35"/>
      <c r="H43" s="35"/>
    </row>
    <row r="44" spans="1:8" x14ac:dyDescent="0.2">
      <c r="A44" s="1" t="s">
        <v>201</v>
      </c>
    </row>
    <row r="45" spans="1:8" x14ac:dyDescent="0.2">
      <c r="A45" s="1" t="s">
        <v>1636</v>
      </c>
    </row>
    <row r="47" spans="1:8" x14ac:dyDescent="0.2">
      <c r="A47" s="2" t="s">
        <v>27</v>
      </c>
    </row>
    <row r="49" spans="1:8" x14ac:dyDescent="0.2">
      <c r="E49" s="32" t="s">
        <v>177</v>
      </c>
    </row>
    <row r="50" spans="1:8" x14ac:dyDescent="0.2">
      <c r="A50" s="1" t="s">
        <v>203</v>
      </c>
      <c r="D50" s="12" t="s">
        <v>179</v>
      </c>
      <c r="E50" s="12" t="s">
        <v>178</v>
      </c>
    </row>
    <row r="51" spans="1:8" x14ac:dyDescent="0.2">
      <c r="A51" s="1" t="s">
        <v>181</v>
      </c>
      <c r="D51" s="73">
        <v>7</v>
      </c>
      <c r="E51" s="12" t="s">
        <v>45</v>
      </c>
      <c r="F51" s="1" t="s">
        <v>204</v>
      </c>
    </row>
    <row r="52" spans="1:8" x14ac:dyDescent="0.2">
      <c r="A52" s="1" t="s">
        <v>183</v>
      </c>
      <c r="D52" s="73">
        <v>4</v>
      </c>
      <c r="E52" s="12" t="s">
        <v>42</v>
      </c>
      <c r="F52" s="1" t="s">
        <v>205</v>
      </c>
    </row>
    <row r="53" spans="1:8" x14ac:dyDescent="0.2">
      <c r="A53" s="1" t="s">
        <v>206</v>
      </c>
      <c r="D53" s="73">
        <v>-40000</v>
      </c>
      <c r="E53" s="12" t="s">
        <v>39</v>
      </c>
    </row>
    <row r="54" spans="1:8" x14ac:dyDescent="0.2">
      <c r="A54" s="1" t="s">
        <v>207</v>
      </c>
      <c r="D54" s="73">
        <v>0</v>
      </c>
      <c r="E54" s="12" t="s">
        <v>47</v>
      </c>
    </row>
    <row r="55" spans="1:8" x14ac:dyDescent="0.2">
      <c r="D55" s="263">
        <f>FV(D52/100,D51,D54,D53)</f>
        <v>52637.27116943361</v>
      </c>
      <c r="E55" s="12" t="s">
        <v>50</v>
      </c>
      <c r="F55" s="34" t="s">
        <v>51</v>
      </c>
    </row>
    <row r="57" spans="1:8" x14ac:dyDescent="0.2">
      <c r="A57" s="35" t="s">
        <v>208</v>
      </c>
      <c r="B57" s="35"/>
      <c r="C57" s="35"/>
      <c r="D57" s="35"/>
      <c r="E57" s="35"/>
      <c r="F57" s="35"/>
      <c r="G57" s="35"/>
      <c r="H57" s="35"/>
    </row>
    <row r="58" spans="1:8" x14ac:dyDescent="0.2">
      <c r="A58" s="1" t="s">
        <v>209</v>
      </c>
    </row>
    <row r="59" spans="1:8" x14ac:dyDescent="0.2">
      <c r="A59" s="1" t="s">
        <v>210</v>
      </c>
    </row>
    <row r="61" spans="1:8" x14ac:dyDescent="0.2">
      <c r="A61" s="2" t="s">
        <v>27</v>
      </c>
    </row>
    <row r="62" spans="1:8" x14ac:dyDescent="0.2">
      <c r="A62" s="1" t="s">
        <v>211</v>
      </c>
    </row>
    <row r="63" spans="1:8" x14ac:dyDescent="0.2">
      <c r="A63" s="1" t="s">
        <v>212</v>
      </c>
    </row>
    <row r="65" spans="1:8" x14ac:dyDescent="0.2">
      <c r="E65" s="32" t="s">
        <v>177</v>
      </c>
    </row>
    <row r="66" spans="1:8" x14ac:dyDescent="0.2">
      <c r="A66" s="1" t="s">
        <v>213</v>
      </c>
      <c r="D66" s="12" t="s">
        <v>179</v>
      </c>
      <c r="E66" s="12" t="s">
        <v>178</v>
      </c>
    </row>
    <row r="67" spans="1:8" x14ac:dyDescent="0.2">
      <c r="A67" s="1" t="s">
        <v>214</v>
      </c>
      <c r="D67" s="73">
        <v>8</v>
      </c>
      <c r="E67" s="12" t="s">
        <v>45</v>
      </c>
    </row>
    <row r="68" spans="1:8" x14ac:dyDescent="0.2">
      <c r="A68" s="1" t="s">
        <v>215</v>
      </c>
      <c r="D68" s="73">
        <v>9</v>
      </c>
      <c r="E68" s="12" t="s">
        <v>42</v>
      </c>
    </row>
    <row r="69" spans="1:8" x14ac:dyDescent="0.2">
      <c r="A69" s="1" t="s">
        <v>216</v>
      </c>
      <c r="D69" s="73">
        <v>-2400000</v>
      </c>
      <c r="E69" s="12" t="s">
        <v>39</v>
      </c>
    </row>
    <row r="70" spans="1:8" x14ac:dyDescent="0.2">
      <c r="A70" s="1" t="s">
        <v>217</v>
      </c>
      <c r="D70" s="73">
        <v>0</v>
      </c>
      <c r="E70" s="12" t="s">
        <v>47</v>
      </c>
    </row>
    <row r="71" spans="1:8" x14ac:dyDescent="0.2">
      <c r="D71" s="263">
        <f>FV(D68/100,D67,D70,D69)</f>
        <v>4782150.3400564631</v>
      </c>
      <c r="E71" s="12" t="s">
        <v>50</v>
      </c>
      <c r="F71" s="34" t="s">
        <v>51</v>
      </c>
    </row>
    <row r="73" spans="1:8" x14ac:dyDescent="0.2">
      <c r="A73" s="35" t="s">
        <v>218</v>
      </c>
      <c r="B73" s="35"/>
      <c r="C73" s="35"/>
      <c r="D73" s="35"/>
      <c r="E73" s="35"/>
      <c r="F73" s="35"/>
      <c r="G73" s="35"/>
      <c r="H73" s="35"/>
    </row>
    <row r="74" spans="1:8" x14ac:dyDescent="0.2">
      <c r="A74" s="1" t="s">
        <v>219</v>
      </c>
    </row>
    <row r="75" spans="1:8" x14ac:dyDescent="0.2">
      <c r="A75" s="1" t="s">
        <v>220</v>
      </c>
    </row>
    <row r="77" spans="1:8" x14ac:dyDescent="0.2">
      <c r="A77" s="2" t="s">
        <v>27</v>
      </c>
    </row>
    <row r="78" spans="1:8" x14ac:dyDescent="0.2">
      <c r="A78" s="1" t="s">
        <v>221</v>
      </c>
    </row>
    <row r="81" spans="1:8" x14ac:dyDescent="0.2">
      <c r="E81" s="32" t="s">
        <v>177</v>
      </c>
    </row>
    <row r="82" spans="1:8" x14ac:dyDescent="0.2">
      <c r="A82" s="1" t="s">
        <v>213</v>
      </c>
      <c r="D82" s="12" t="s">
        <v>179</v>
      </c>
      <c r="E82" s="12" t="s">
        <v>178</v>
      </c>
    </row>
    <row r="83" spans="1:8" x14ac:dyDescent="0.2">
      <c r="A83" s="1" t="s">
        <v>181</v>
      </c>
      <c r="D83" s="73">
        <v>100</v>
      </c>
      <c r="E83" s="12" t="s">
        <v>45</v>
      </c>
      <c r="F83" s="1" t="s">
        <v>222</v>
      </c>
    </row>
    <row r="84" spans="1:8" x14ac:dyDescent="0.2">
      <c r="A84" s="1" t="s">
        <v>223</v>
      </c>
      <c r="D84" s="73">
        <v>4</v>
      </c>
      <c r="E84" s="12" t="s">
        <v>42</v>
      </c>
    </row>
    <row r="85" spans="1:8" x14ac:dyDescent="0.2">
      <c r="A85" s="1" t="s">
        <v>216</v>
      </c>
      <c r="D85" s="73">
        <v>-10</v>
      </c>
      <c r="E85" s="12" t="s">
        <v>39</v>
      </c>
    </row>
    <row r="86" spans="1:8" x14ac:dyDescent="0.2">
      <c r="A86" s="1" t="s">
        <v>217</v>
      </c>
      <c r="D86" s="73">
        <v>0</v>
      </c>
      <c r="E86" s="12" t="s">
        <v>47</v>
      </c>
    </row>
    <row r="87" spans="1:8" s="196" customFormat="1" x14ac:dyDescent="0.2">
      <c r="D87" s="263">
        <f>FV(D84/100,D83,D86,D85)</f>
        <v>505.04948184269637</v>
      </c>
      <c r="E87" s="73" t="s">
        <v>50</v>
      </c>
      <c r="F87" s="264" t="s">
        <v>51</v>
      </c>
    </row>
    <row r="89" spans="1:8" x14ac:dyDescent="0.2">
      <c r="A89" s="1" t="s">
        <v>224</v>
      </c>
    </row>
    <row r="90" spans="1:8" x14ac:dyDescent="0.2">
      <c r="A90" s="1" t="s">
        <v>225</v>
      </c>
    </row>
    <row r="91" spans="1:8" x14ac:dyDescent="0.2">
      <c r="A91" s="1" t="s">
        <v>226</v>
      </c>
    </row>
    <row r="92" spans="1:8" x14ac:dyDescent="0.2">
      <c r="A92" s="1" t="s">
        <v>227</v>
      </c>
    </row>
    <row r="94" spans="1:8" x14ac:dyDescent="0.2">
      <c r="A94" s="35" t="s">
        <v>228</v>
      </c>
      <c r="B94" s="35"/>
      <c r="C94" s="35"/>
      <c r="D94" s="35"/>
      <c r="E94" s="35"/>
      <c r="F94" s="35"/>
      <c r="G94" s="35"/>
      <c r="H94" s="35"/>
    </row>
    <row r="95" spans="1:8" x14ac:dyDescent="0.2">
      <c r="A95" s="1" t="s">
        <v>229</v>
      </c>
    </row>
    <row r="96" spans="1:8" x14ac:dyDescent="0.2">
      <c r="A96" s="1" t="s">
        <v>232</v>
      </c>
    </row>
    <row r="97" spans="1:8" x14ac:dyDescent="0.2">
      <c r="A97" s="1" t="s">
        <v>230</v>
      </c>
    </row>
    <row r="98" spans="1:8" x14ac:dyDescent="0.2">
      <c r="A98" s="1" t="s">
        <v>231</v>
      </c>
    </row>
    <row r="100" spans="1:8" x14ac:dyDescent="0.2">
      <c r="A100" s="2" t="s">
        <v>27</v>
      </c>
    </row>
    <row r="101" spans="1:8" x14ac:dyDescent="0.2">
      <c r="A101" s="1" t="s">
        <v>233</v>
      </c>
    </row>
    <row r="104" spans="1:8" x14ac:dyDescent="0.2">
      <c r="E104" s="32" t="s">
        <v>177</v>
      </c>
    </row>
    <row r="105" spans="1:8" x14ac:dyDescent="0.2">
      <c r="A105" s="1" t="s">
        <v>234</v>
      </c>
      <c r="D105" s="12" t="s">
        <v>179</v>
      </c>
      <c r="E105" s="12" t="s">
        <v>178</v>
      </c>
      <c r="F105" s="1" t="s">
        <v>1637</v>
      </c>
    </row>
    <row r="106" spans="1:8" x14ac:dyDescent="0.2">
      <c r="A106" s="1" t="s">
        <v>1638</v>
      </c>
      <c r="D106" s="12">
        <f>12*3</f>
        <v>36</v>
      </c>
      <c r="E106" s="12" t="s">
        <v>45</v>
      </c>
      <c r="F106" s="1" t="s">
        <v>1639</v>
      </c>
    </row>
    <row r="107" spans="1:8" x14ac:dyDescent="0.2">
      <c r="A107" s="1" t="s">
        <v>1640</v>
      </c>
      <c r="D107" s="12">
        <v>1</v>
      </c>
      <c r="E107" s="12" t="s">
        <v>42</v>
      </c>
      <c r="F107" s="1" t="s">
        <v>1641</v>
      </c>
    </row>
    <row r="108" spans="1:8" x14ac:dyDescent="0.2">
      <c r="A108" s="1" t="s">
        <v>235</v>
      </c>
      <c r="D108" s="12">
        <v>0</v>
      </c>
      <c r="E108" s="12" t="s">
        <v>39</v>
      </c>
    </row>
    <row r="109" spans="1:8" x14ac:dyDescent="0.2">
      <c r="A109" s="1" t="s">
        <v>236</v>
      </c>
      <c r="D109" s="12">
        <v>-2</v>
      </c>
      <c r="E109" s="12" t="s">
        <v>47</v>
      </c>
      <c r="F109" s="1" t="s">
        <v>1642</v>
      </c>
    </row>
    <row r="110" spans="1:8" x14ac:dyDescent="0.2">
      <c r="A110" s="2" t="s">
        <v>1643</v>
      </c>
      <c r="D110" s="37">
        <f>FV(D107/100,D106,D109,D108)</f>
        <v>86.153756718316203</v>
      </c>
      <c r="E110" s="12" t="s">
        <v>50</v>
      </c>
      <c r="F110" s="34" t="s">
        <v>51</v>
      </c>
    </row>
    <row r="112" spans="1:8" x14ac:dyDescent="0.2">
      <c r="A112" s="35" t="s">
        <v>237</v>
      </c>
      <c r="B112" s="35"/>
      <c r="C112" s="35"/>
      <c r="D112" s="35"/>
      <c r="E112" s="35"/>
      <c r="F112" s="35"/>
      <c r="G112" s="35"/>
      <c r="H112" s="35"/>
    </row>
    <row r="113" spans="1:8" x14ac:dyDescent="0.2">
      <c r="A113" s="1" t="s">
        <v>238</v>
      </c>
    </row>
    <row r="114" spans="1:8" x14ac:dyDescent="0.2">
      <c r="A114" s="1" t="s">
        <v>239</v>
      </c>
    </row>
    <row r="115" spans="1:8" x14ac:dyDescent="0.2">
      <c r="A115" s="1" t="s">
        <v>240</v>
      </c>
    </row>
    <row r="117" spans="1:8" x14ac:dyDescent="0.2">
      <c r="A117" s="2" t="s">
        <v>27</v>
      </c>
    </row>
    <row r="118" spans="1:8" x14ac:dyDescent="0.2">
      <c r="A118" s="1" t="s">
        <v>246</v>
      </c>
    </row>
    <row r="120" spans="1:8" x14ac:dyDescent="0.2">
      <c r="E120" s="32" t="s">
        <v>177</v>
      </c>
    </row>
    <row r="121" spans="1:8" x14ac:dyDescent="0.2">
      <c r="A121" s="1" t="s">
        <v>241</v>
      </c>
      <c r="D121" s="73" t="s">
        <v>179</v>
      </c>
      <c r="E121" s="12" t="s">
        <v>178</v>
      </c>
    </row>
    <row r="122" spans="1:8" x14ac:dyDescent="0.2">
      <c r="A122" s="1" t="s">
        <v>242</v>
      </c>
      <c r="D122" s="73">
        <v>4</v>
      </c>
      <c r="E122" s="12" t="s">
        <v>45</v>
      </c>
      <c r="F122" s="1" t="s">
        <v>247</v>
      </c>
    </row>
    <row r="123" spans="1:8" x14ac:dyDescent="0.2">
      <c r="A123" s="1" t="s">
        <v>243</v>
      </c>
      <c r="D123" s="73">
        <v>3</v>
      </c>
      <c r="E123" s="12" t="s">
        <v>42</v>
      </c>
      <c r="F123" s="1" t="s">
        <v>248</v>
      </c>
    </row>
    <row r="124" spans="1:8" x14ac:dyDescent="0.2">
      <c r="A124" s="1" t="s">
        <v>244</v>
      </c>
      <c r="D124" s="73">
        <v>-10000</v>
      </c>
      <c r="E124" s="12" t="s">
        <v>39</v>
      </c>
      <c r="F124" s="1" t="s">
        <v>249</v>
      </c>
    </row>
    <row r="125" spans="1:8" x14ac:dyDescent="0.2">
      <c r="A125" s="1" t="s">
        <v>245</v>
      </c>
      <c r="D125" s="73">
        <v>-7000</v>
      </c>
      <c r="E125" s="12" t="s">
        <v>47</v>
      </c>
      <c r="F125" s="1" t="s">
        <v>250</v>
      </c>
    </row>
    <row r="126" spans="1:8" x14ac:dyDescent="0.2">
      <c r="D126" s="263">
        <f>FV(D123/100,D122,D125,D124)</f>
        <v>40540.477099999982</v>
      </c>
      <c r="E126" s="12" t="s">
        <v>50</v>
      </c>
      <c r="F126" s="34" t="s">
        <v>51</v>
      </c>
    </row>
    <row r="128" spans="1:8" x14ac:dyDescent="0.2">
      <c r="A128" s="35" t="s">
        <v>251</v>
      </c>
      <c r="B128" s="35"/>
      <c r="C128" s="35"/>
      <c r="D128" s="35"/>
      <c r="E128" s="35"/>
      <c r="F128" s="35"/>
      <c r="G128" s="35"/>
      <c r="H128" s="35"/>
    </row>
    <row r="129" spans="1:8" x14ac:dyDescent="0.2">
      <c r="A129" s="1" t="s">
        <v>252</v>
      </c>
    </row>
    <row r="130" spans="1:8" x14ac:dyDescent="0.2">
      <c r="A130" s="1" t="s">
        <v>253</v>
      </c>
    </row>
    <row r="131" spans="1:8" x14ac:dyDescent="0.2">
      <c r="A131" s="1" t="s">
        <v>254</v>
      </c>
    </row>
    <row r="133" spans="1:8" x14ac:dyDescent="0.2">
      <c r="A133" s="2" t="s">
        <v>27</v>
      </c>
    </row>
    <row r="136" spans="1:8" x14ac:dyDescent="0.2">
      <c r="E136" s="32" t="s">
        <v>177</v>
      </c>
    </row>
    <row r="137" spans="1:8" x14ac:dyDescent="0.2">
      <c r="D137" s="12" t="s">
        <v>179</v>
      </c>
      <c r="E137" s="12" t="s">
        <v>178</v>
      </c>
    </row>
    <row r="138" spans="1:8" x14ac:dyDescent="0.2">
      <c r="A138" s="1" t="s">
        <v>114</v>
      </c>
      <c r="D138" s="73">
        <f>5*6</f>
        <v>30</v>
      </c>
      <c r="E138" s="12" t="s">
        <v>45</v>
      </c>
      <c r="F138" s="1" t="s">
        <v>258</v>
      </c>
    </row>
    <row r="139" spans="1:8" x14ac:dyDescent="0.2">
      <c r="A139" s="1" t="s">
        <v>257</v>
      </c>
      <c r="D139" s="73">
        <v>1</v>
      </c>
      <c r="E139" s="12" t="s">
        <v>42</v>
      </c>
    </row>
    <row r="140" spans="1:8" x14ac:dyDescent="0.2">
      <c r="A140" s="1" t="s">
        <v>111</v>
      </c>
      <c r="D140" s="73">
        <v>-150000</v>
      </c>
      <c r="E140" s="12" t="s">
        <v>39</v>
      </c>
    </row>
    <row r="141" spans="1:8" x14ac:dyDescent="0.2">
      <c r="A141" s="1" t="s">
        <v>255</v>
      </c>
      <c r="D141" s="73">
        <v>-4000</v>
      </c>
      <c r="E141" s="12" t="s">
        <v>47</v>
      </c>
      <c r="F141" s="1" t="s">
        <v>256</v>
      </c>
    </row>
    <row r="142" spans="1:8" x14ac:dyDescent="0.2">
      <c r="D142" s="263">
        <f>FV(D139/100,D138,D141,D140)</f>
        <v>341316.90343309846</v>
      </c>
      <c r="E142" s="12" t="s">
        <v>50</v>
      </c>
      <c r="F142" s="34" t="s">
        <v>51</v>
      </c>
    </row>
    <row r="144" spans="1:8" x14ac:dyDescent="0.2">
      <c r="A144" s="35" t="s">
        <v>259</v>
      </c>
      <c r="B144" s="35"/>
      <c r="C144" s="35"/>
      <c r="D144" s="35"/>
      <c r="E144" s="35"/>
      <c r="F144" s="35"/>
      <c r="G144" s="265" t="s">
        <v>1644</v>
      </c>
      <c r="H144" s="35"/>
    </row>
    <row r="145" spans="1:8" x14ac:dyDescent="0.2">
      <c r="A145" s="1" t="s">
        <v>260</v>
      </c>
    </row>
    <row r="146" spans="1:8" x14ac:dyDescent="0.2">
      <c r="A146" s="1" t="s">
        <v>261</v>
      </c>
    </row>
    <row r="147" spans="1:8" x14ac:dyDescent="0.2">
      <c r="A147" s="1" t="s">
        <v>262</v>
      </c>
    </row>
    <row r="149" spans="1:8" x14ac:dyDescent="0.2">
      <c r="A149" s="2" t="s">
        <v>27</v>
      </c>
    </row>
    <row r="152" spans="1:8" x14ac:dyDescent="0.2">
      <c r="E152" s="32" t="s">
        <v>177</v>
      </c>
    </row>
    <row r="153" spans="1:8" x14ac:dyDescent="0.2">
      <c r="D153" s="12" t="s">
        <v>179</v>
      </c>
      <c r="E153" s="12" t="s">
        <v>178</v>
      </c>
    </row>
    <row r="154" spans="1:8" x14ac:dyDescent="0.2">
      <c r="A154" s="1" t="s">
        <v>266</v>
      </c>
      <c r="D154" s="12">
        <v>24</v>
      </c>
      <c r="E154" s="12" t="s">
        <v>45</v>
      </c>
      <c r="F154" s="1" t="s">
        <v>265</v>
      </c>
    </row>
    <row r="155" spans="1:8" x14ac:dyDescent="0.2">
      <c r="A155" s="1" t="s">
        <v>264</v>
      </c>
      <c r="D155" s="12">
        <v>2</v>
      </c>
      <c r="E155" s="12" t="s">
        <v>42</v>
      </c>
    </row>
    <row r="156" spans="1:8" x14ac:dyDescent="0.2">
      <c r="A156" s="1" t="s">
        <v>111</v>
      </c>
      <c r="D156" s="12">
        <v>-20000</v>
      </c>
      <c r="E156" s="12" t="s">
        <v>39</v>
      </c>
    </row>
    <row r="157" spans="1:8" x14ac:dyDescent="0.2">
      <c r="A157" s="1" t="s">
        <v>263</v>
      </c>
      <c r="D157" s="12">
        <v>-5000</v>
      </c>
      <c r="E157" s="12" t="s">
        <v>47</v>
      </c>
    </row>
    <row r="158" spans="1:8" x14ac:dyDescent="0.2">
      <c r="D158" s="37">
        <f>FV(D155/100,D154,D157,D156)</f>
        <v>184278.05735831073</v>
      </c>
      <c r="E158" s="12" t="s">
        <v>50</v>
      </c>
      <c r="F158" s="34" t="s">
        <v>51</v>
      </c>
    </row>
    <row r="160" spans="1:8" x14ac:dyDescent="0.2">
      <c r="A160" s="38" t="s">
        <v>267</v>
      </c>
      <c r="B160" s="39"/>
      <c r="C160" s="39"/>
      <c r="D160" s="39"/>
      <c r="E160" s="39"/>
      <c r="F160" s="39"/>
      <c r="G160" s="39"/>
      <c r="H160" s="39"/>
    </row>
    <row r="162" spans="1:8" x14ac:dyDescent="0.2">
      <c r="A162" s="1" t="s">
        <v>268</v>
      </c>
    </row>
    <row r="163" spans="1:8" x14ac:dyDescent="0.2">
      <c r="A163" s="1" t="s">
        <v>269</v>
      </c>
    </row>
    <row r="164" spans="1:8" x14ac:dyDescent="0.2">
      <c r="A164" s="1" t="s">
        <v>270</v>
      </c>
    </row>
    <row r="166" spans="1:8" x14ac:dyDescent="0.2">
      <c r="A166" s="1" t="s">
        <v>271</v>
      </c>
    </row>
    <row r="167" spans="1:8" x14ac:dyDescent="0.2">
      <c r="A167" s="1" t="s">
        <v>272</v>
      </c>
    </row>
    <row r="168" spans="1:8" x14ac:dyDescent="0.2">
      <c r="A168" s="1" t="s">
        <v>273</v>
      </c>
    </row>
    <row r="169" spans="1:8" x14ac:dyDescent="0.2">
      <c r="A169" s="1" t="s">
        <v>274</v>
      </c>
    </row>
    <row r="170" spans="1:8" x14ac:dyDescent="0.2">
      <c r="A170" s="1" t="s">
        <v>275</v>
      </c>
    </row>
    <row r="172" spans="1:8" x14ac:dyDescent="0.2">
      <c r="A172" s="35" t="s">
        <v>276</v>
      </c>
      <c r="B172" s="35"/>
      <c r="C172" s="35"/>
      <c r="D172" s="35"/>
      <c r="E172" s="35"/>
      <c r="F172" s="35"/>
      <c r="G172" s="35"/>
      <c r="H172" s="35"/>
    </row>
    <row r="173" spans="1:8" x14ac:dyDescent="0.2">
      <c r="A173" s="1" t="s">
        <v>277</v>
      </c>
    </row>
    <row r="174" spans="1:8" x14ac:dyDescent="0.2">
      <c r="A174" s="1" t="s">
        <v>278</v>
      </c>
    </row>
    <row r="175" spans="1:8" x14ac:dyDescent="0.2">
      <c r="A175" s="1" t="s">
        <v>279</v>
      </c>
    </row>
    <row r="176" spans="1:8" x14ac:dyDescent="0.2">
      <c r="A176" s="1" t="s">
        <v>280</v>
      </c>
    </row>
    <row r="178" spans="1:8" x14ac:dyDescent="0.2">
      <c r="A178" s="1" t="s">
        <v>27</v>
      </c>
    </row>
    <row r="180" spans="1:8" x14ac:dyDescent="0.2">
      <c r="A180" s="1" t="s">
        <v>281</v>
      </c>
    </row>
    <row r="181" spans="1:8" x14ac:dyDescent="0.2">
      <c r="A181" s="1" t="s">
        <v>282</v>
      </c>
    </row>
    <row r="182" spans="1:8" x14ac:dyDescent="0.2">
      <c r="A182" s="1" t="s">
        <v>283</v>
      </c>
    </row>
    <row r="184" spans="1:8" x14ac:dyDescent="0.2">
      <c r="A184" s="1" t="s">
        <v>284</v>
      </c>
      <c r="B184" s="1" t="s">
        <v>285</v>
      </c>
    </row>
    <row r="185" spans="1:8" x14ac:dyDescent="0.2">
      <c r="A185" s="1" t="s">
        <v>286</v>
      </c>
      <c r="B185" s="1" t="s">
        <v>287</v>
      </c>
    </row>
    <row r="186" spans="1:8" x14ac:dyDescent="0.2">
      <c r="A186" s="1" t="s">
        <v>288</v>
      </c>
      <c r="B186" s="1" t="s">
        <v>289</v>
      </c>
    </row>
    <row r="188" spans="1:8" x14ac:dyDescent="0.2">
      <c r="D188" s="73" t="s">
        <v>292</v>
      </c>
      <c r="E188" s="73" t="s">
        <v>291</v>
      </c>
      <c r="F188" s="12" t="s">
        <v>290</v>
      </c>
      <c r="G188" s="32" t="s">
        <v>177</v>
      </c>
    </row>
    <row r="189" spans="1:8" x14ac:dyDescent="0.2">
      <c r="D189" s="73" t="s">
        <v>179</v>
      </c>
      <c r="E189" s="73" t="s">
        <v>179</v>
      </c>
      <c r="F189" s="12" t="s">
        <v>179</v>
      </c>
      <c r="G189" s="1" t="s">
        <v>178</v>
      </c>
      <c r="H189" s="1" t="s">
        <v>293</v>
      </c>
    </row>
    <row r="190" spans="1:8" x14ac:dyDescent="0.2">
      <c r="D190" s="73">
        <v>2</v>
      </c>
      <c r="E190" s="73">
        <v>6</v>
      </c>
      <c r="F190" s="12">
        <v>4</v>
      </c>
      <c r="G190" s="1" t="s">
        <v>45</v>
      </c>
      <c r="H190" s="1" t="s">
        <v>181</v>
      </c>
    </row>
    <row r="191" spans="1:8" x14ac:dyDescent="0.2">
      <c r="D191" s="73">
        <v>5</v>
      </c>
      <c r="E191" s="73">
        <v>2</v>
      </c>
      <c r="F191" s="12">
        <v>3</v>
      </c>
      <c r="G191" s="1" t="s">
        <v>42</v>
      </c>
      <c r="H191" s="1" t="s">
        <v>294</v>
      </c>
    </row>
    <row r="192" spans="1:8" x14ac:dyDescent="0.2">
      <c r="D192" s="83">
        <f>-E194</f>
        <v>-50700.228974901831</v>
      </c>
      <c r="E192" s="263">
        <f>-F194</f>
        <v>-45020.352399999996</v>
      </c>
      <c r="F192" s="12">
        <v>-40000</v>
      </c>
      <c r="G192" s="1" t="s">
        <v>39</v>
      </c>
      <c r="H192" s="1" t="s">
        <v>295</v>
      </c>
    </row>
    <row r="193" spans="1:8" ht="17" thickBot="1" x14ac:dyDescent="0.25">
      <c r="D193" s="73">
        <v>0</v>
      </c>
      <c r="E193" s="73">
        <v>0</v>
      </c>
      <c r="F193" s="12">
        <v>0</v>
      </c>
      <c r="G193" s="1" t="s">
        <v>47</v>
      </c>
      <c r="H193" s="1" t="s">
        <v>296</v>
      </c>
    </row>
    <row r="194" spans="1:8" ht="22" thickBot="1" x14ac:dyDescent="0.3">
      <c r="D194" s="267">
        <f>FV(D191/100,D190,D193,D192)</f>
        <v>55897.002444829268</v>
      </c>
      <c r="E194" s="266">
        <f>FV(E191/100,E190,E193,E192)</f>
        <v>50700.228974901831</v>
      </c>
      <c r="F194" s="37">
        <f>FV(F191/100,F190,F193,F192)</f>
        <v>45020.352399999996</v>
      </c>
      <c r="G194" s="1" t="s">
        <v>50</v>
      </c>
      <c r="H194" s="40" t="s">
        <v>51</v>
      </c>
    </row>
    <row r="195" spans="1:8" ht="21" x14ac:dyDescent="0.25">
      <c r="D195" s="43" t="s">
        <v>297</v>
      </c>
      <c r="E195" s="1" t="s">
        <v>1646</v>
      </c>
      <c r="F195" s="12" t="s">
        <v>1645</v>
      </c>
    </row>
    <row r="196" spans="1:8" x14ac:dyDescent="0.2">
      <c r="D196" s="1" t="s">
        <v>1647</v>
      </c>
    </row>
    <row r="198" spans="1:8" x14ac:dyDescent="0.2">
      <c r="A198" s="1" t="s">
        <v>298</v>
      </c>
    </row>
    <row r="200" spans="1:8" x14ac:dyDescent="0.2">
      <c r="A200" s="269" t="s">
        <v>1648</v>
      </c>
      <c r="B200" s="268"/>
      <c r="C200" s="268"/>
      <c r="D200" s="268"/>
      <c r="E200" s="268"/>
      <c r="F200" s="268"/>
      <c r="G200" s="268"/>
    </row>
    <row r="201" spans="1:8" x14ac:dyDescent="0.2">
      <c r="A201" s="1" t="s">
        <v>1649</v>
      </c>
    </row>
    <row r="202" spans="1:8" x14ac:dyDescent="0.2">
      <c r="A202" s="1" t="s">
        <v>1650</v>
      </c>
    </row>
    <row r="203" spans="1:8" x14ac:dyDescent="0.2">
      <c r="A203" s="1" t="s">
        <v>1651</v>
      </c>
    </row>
    <row r="204" spans="1:8" x14ac:dyDescent="0.2">
      <c r="A204" s="1" t="s">
        <v>1652</v>
      </c>
    </row>
    <row r="205" spans="1:8" x14ac:dyDescent="0.2">
      <c r="A205" s="1" t="s">
        <v>1653</v>
      </c>
    </row>
    <row r="207" spans="1:8" x14ac:dyDescent="0.2">
      <c r="D207" s="12" t="s">
        <v>317</v>
      </c>
      <c r="E207" s="12" t="s">
        <v>317</v>
      </c>
      <c r="F207" s="12" t="s">
        <v>368</v>
      </c>
    </row>
    <row r="208" spans="1:8" x14ac:dyDescent="0.2">
      <c r="A208" s="1" t="s">
        <v>1654</v>
      </c>
      <c r="D208" s="59" t="s">
        <v>292</v>
      </c>
      <c r="E208" s="59" t="s">
        <v>291</v>
      </c>
      <c r="F208" s="59" t="s">
        <v>290</v>
      </c>
    </row>
    <row r="209" spans="1:8" x14ac:dyDescent="0.2">
      <c r="A209" s="1" t="s">
        <v>1655</v>
      </c>
      <c r="D209" s="12" t="s">
        <v>179</v>
      </c>
      <c r="E209" s="12" t="s">
        <v>179</v>
      </c>
      <c r="F209" s="12" t="s">
        <v>179</v>
      </c>
      <c r="G209" s="1" t="s">
        <v>178</v>
      </c>
    </row>
    <row r="210" spans="1:8" x14ac:dyDescent="0.2">
      <c r="B210" s="12" t="s">
        <v>1657</v>
      </c>
      <c r="D210" s="12">
        <v>8</v>
      </c>
      <c r="E210" s="12">
        <v>4</v>
      </c>
      <c r="F210" s="12">
        <v>24</v>
      </c>
      <c r="G210" s="1" t="s">
        <v>45</v>
      </c>
    </row>
    <row r="211" spans="1:8" x14ac:dyDescent="0.2">
      <c r="D211" s="12">
        <v>1</v>
      </c>
      <c r="E211" s="12">
        <v>3</v>
      </c>
      <c r="F211" s="12">
        <v>1</v>
      </c>
      <c r="G211" s="1" t="s">
        <v>42</v>
      </c>
    </row>
    <row r="212" spans="1:8" x14ac:dyDescent="0.2">
      <c r="D212" s="270">
        <f>-E214</f>
        <v>-28581.950665698474</v>
      </c>
      <c r="E212" s="69">
        <f>-F214</f>
        <v>-25394.692970638298</v>
      </c>
      <c r="F212" s="74">
        <v>-20000</v>
      </c>
      <c r="G212" s="1" t="s">
        <v>39</v>
      </c>
    </row>
    <row r="213" spans="1:8" x14ac:dyDescent="0.2">
      <c r="C213" s="33" t="s">
        <v>1656</v>
      </c>
      <c r="D213" s="74">
        <v>0</v>
      </c>
      <c r="E213" s="74">
        <v>0</v>
      </c>
      <c r="F213" s="74">
        <v>0</v>
      </c>
      <c r="G213" s="1" t="s">
        <v>47</v>
      </c>
    </row>
    <row r="214" spans="1:8" x14ac:dyDescent="0.2">
      <c r="D214" s="66">
        <f>FV(D211/100,D210,D213,D212)</f>
        <v>30950.156938282566</v>
      </c>
      <c r="E214" s="270">
        <f>FV(E211/100,E210,E213,E212)</f>
        <v>28581.950665698474</v>
      </c>
      <c r="F214" s="69">
        <f>FV(F211/100,F210,F213,F212)</f>
        <v>25394.692970638298</v>
      </c>
      <c r="G214" s="1" t="s">
        <v>50</v>
      </c>
    </row>
    <row r="215" spans="1:8" x14ac:dyDescent="0.2">
      <c r="D215" s="12" t="s">
        <v>297</v>
      </c>
    </row>
    <row r="222" spans="1:8" x14ac:dyDescent="0.2">
      <c r="A222" s="35" t="s">
        <v>299</v>
      </c>
      <c r="B222" s="35"/>
      <c r="C222" s="35"/>
      <c r="D222" s="35"/>
      <c r="E222" s="35"/>
      <c r="F222" s="265" t="s">
        <v>1644</v>
      </c>
      <c r="G222" s="35"/>
      <c r="H222" s="35"/>
    </row>
    <row r="223" spans="1:8" x14ac:dyDescent="0.2">
      <c r="A223" s="1" t="s">
        <v>300</v>
      </c>
    </row>
    <row r="224" spans="1:8" x14ac:dyDescent="0.2">
      <c r="A224" s="1" t="s">
        <v>301</v>
      </c>
    </row>
    <row r="225" spans="1:8" x14ac:dyDescent="0.2">
      <c r="A225" s="1" t="s">
        <v>302</v>
      </c>
    </row>
    <row r="226" spans="1:8" x14ac:dyDescent="0.2">
      <c r="A226" s="1" t="s">
        <v>303</v>
      </c>
    </row>
    <row r="227" spans="1:8" x14ac:dyDescent="0.2">
      <c r="A227" s="1" t="s">
        <v>304</v>
      </c>
    </row>
    <row r="229" spans="1:8" x14ac:dyDescent="0.2">
      <c r="A229" s="1" t="s">
        <v>27</v>
      </c>
    </row>
    <row r="230" spans="1:8" x14ac:dyDescent="0.2">
      <c r="C230" s="12" t="s">
        <v>307</v>
      </c>
      <c r="D230" s="12" t="s">
        <v>306</v>
      </c>
      <c r="E230" s="12" t="s">
        <v>305</v>
      </c>
    </row>
    <row r="231" spans="1:8" x14ac:dyDescent="0.2">
      <c r="C231" s="12" t="s">
        <v>292</v>
      </c>
      <c r="D231" s="12" t="s">
        <v>291</v>
      </c>
      <c r="E231" s="12" t="s">
        <v>290</v>
      </c>
      <c r="F231" s="32" t="s">
        <v>177</v>
      </c>
    </row>
    <row r="232" spans="1:8" x14ac:dyDescent="0.2">
      <c r="C232" s="12" t="s">
        <v>179</v>
      </c>
      <c r="D232" s="12" t="s">
        <v>179</v>
      </c>
      <c r="E232" s="12" t="s">
        <v>179</v>
      </c>
      <c r="F232" s="1" t="s">
        <v>178</v>
      </c>
    </row>
    <row r="233" spans="1:8" x14ac:dyDescent="0.2">
      <c r="C233" s="12">
        <f>8*4</f>
        <v>32</v>
      </c>
      <c r="D233" s="12">
        <f>5*2</f>
        <v>10</v>
      </c>
      <c r="E233" s="12">
        <v>7</v>
      </c>
      <c r="F233" s="1" t="s">
        <v>45</v>
      </c>
    </row>
    <row r="234" spans="1:8" x14ac:dyDescent="0.2">
      <c r="C234" s="12">
        <v>1</v>
      </c>
      <c r="D234" s="12">
        <v>3</v>
      </c>
      <c r="E234" s="12">
        <v>4</v>
      </c>
      <c r="F234" s="1" t="s">
        <v>42</v>
      </c>
    </row>
    <row r="235" spans="1:8" x14ac:dyDescent="0.2">
      <c r="C235" s="45">
        <f>-D237</f>
        <v>-176850.22722144987</v>
      </c>
      <c r="D235" s="42">
        <f>-E237</f>
        <v>-131593.17792358404</v>
      </c>
      <c r="E235" s="12">
        <v>-100000</v>
      </c>
      <c r="F235" s="1" t="s">
        <v>39</v>
      </c>
    </row>
    <row r="236" spans="1:8" ht="17" thickBot="1" x14ac:dyDescent="0.25">
      <c r="C236" s="12">
        <v>0</v>
      </c>
      <c r="D236" s="12">
        <v>0</v>
      </c>
      <c r="E236" s="12">
        <v>0</v>
      </c>
      <c r="F236" s="1" t="s">
        <v>47</v>
      </c>
    </row>
    <row r="237" spans="1:8" x14ac:dyDescent="0.2">
      <c r="C237" s="46">
        <f>FV(C234/100,C233,C236,C235)</f>
        <v>243158.57141423906</v>
      </c>
      <c r="D237" s="45">
        <f>FV(D234/100,D233,D236,D235)</f>
        <v>176850.22722144987</v>
      </c>
      <c r="E237" s="41">
        <f>FV(E234/100,E233,E236,E235)</f>
        <v>131593.17792358404</v>
      </c>
      <c r="F237" s="1" t="s">
        <v>50</v>
      </c>
      <c r="G237" s="1" t="s">
        <v>51</v>
      </c>
    </row>
    <row r="238" spans="1:8" ht="17" thickBot="1" x14ac:dyDescent="0.25">
      <c r="C238" s="44" t="s">
        <v>297</v>
      </c>
      <c r="D238" s="12"/>
      <c r="E238" s="12"/>
    </row>
    <row r="240" spans="1:8" x14ac:dyDescent="0.2">
      <c r="A240" s="35" t="s">
        <v>308</v>
      </c>
      <c r="B240" s="35"/>
      <c r="C240" s="35"/>
      <c r="D240" s="35"/>
      <c r="E240" s="35"/>
      <c r="F240" s="35"/>
      <c r="G240" s="35"/>
      <c r="H240" s="35"/>
    </row>
    <row r="241" spans="1:7" x14ac:dyDescent="0.2">
      <c r="A241" s="1" t="s">
        <v>309</v>
      </c>
    </row>
    <row r="242" spans="1:7" x14ac:dyDescent="0.2">
      <c r="A242" s="1" t="s">
        <v>310</v>
      </c>
    </row>
    <row r="243" spans="1:7" x14ac:dyDescent="0.2">
      <c r="A243" s="1" t="s">
        <v>311</v>
      </c>
    </row>
    <row r="244" spans="1:7" x14ac:dyDescent="0.2">
      <c r="A244" s="1" t="s">
        <v>312</v>
      </c>
    </row>
    <row r="245" spans="1:7" x14ac:dyDescent="0.2">
      <c r="A245" s="1" t="s">
        <v>313</v>
      </c>
    </row>
    <row r="247" spans="1:7" x14ac:dyDescent="0.2">
      <c r="A247" s="1" t="s">
        <v>27</v>
      </c>
    </row>
    <row r="248" spans="1:7" x14ac:dyDescent="0.2">
      <c r="C248" s="12" t="s">
        <v>318</v>
      </c>
      <c r="D248" s="12" t="s">
        <v>317</v>
      </c>
      <c r="E248" s="12" t="s">
        <v>316</v>
      </c>
    </row>
    <row r="249" spans="1:7" x14ac:dyDescent="0.2">
      <c r="C249" s="12" t="s">
        <v>306</v>
      </c>
      <c r="D249" s="12" t="s">
        <v>315</v>
      </c>
      <c r="E249" s="12" t="s">
        <v>314</v>
      </c>
    </row>
    <row r="250" spans="1:7" x14ac:dyDescent="0.2">
      <c r="C250" s="12" t="s">
        <v>292</v>
      </c>
      <c r="D250" s="12" t="s">
        <v>291</v>
      </c>
      <c r="E250" s="12" t="s">
        <v>290</v>
      </c>
      <c r="F250" s="32" t="s">
        <v>177</v>
      </c>
    </row>
    <row r="251" spans="1:7" x14ac:dyDescent="0.2">
      <c r="C251" s="12" t="s">
        <v>179</v>
      </c>
      <c r="D251" s="12" t="s">
        <v>179</v>
      </c>
      <c r="E251" s="12" t="s">
        <v>179</v>
      </c>
      <c r="F251" s="1" t="s">
        <v>178</v>
      </c>
    </row>
    <row r="252" spans="1:7" x14ac:dyDescent="0.2">
      <c r="C252" s="73">
        <f>5*12</f>
        <v>60</v>
      </c>
      <c r="D252" s="73">
        <f>4*12</f>
        <v>48</v>
      </c>
      <c r="E252" s="73">
        <f>3*12</f>
        <v>36</v>
      </c>
      <c r="F252" s="1" t="s">
        <v>45</v>
      </c>
    </row>
    <row r="253" spans="1:7" x14ac:dyDescent="0.2">
      <c r="C253" s="73">
        <v>0.5</v>
      </c>
      <c r="D253" s="73">
        <v>0.5</v>
      </c>
      <c r="E253" s="73">
        <v>0.5</v>
      </c>
      <c r="F253" s="1" t="s">
        <v>42</v>
      </c>
    </row>
    <row r="254" spans="1:7" x14ac:dyDescent="0.2">
      <c r="C254" s="271">
        <f>-D256</f>
        <v>-51058.051641720835</v>
      </c>
      <c r="D254" s="83">
        <f>-E256</f>
        <v>-39336.104964682541</v>
      </c>
      <c r="E254" s="73">
        <v>0</v>
      </c>
      <c r="F254" s="1" t="s">
        <v>39</v>
      </c>
    </row>
    <row r="255" spans="1:7" ht="17" thickBot="1" x14ac:dyDescent="0.25">
      <c r="C255" s="73">
        <v>-5000</v>
      </c>
      <c r="D255" s="73">
        <v>-20</v>
      </c>
      <c r="E255" s="73">
        <v>-1000</v>
      </c>
      <c r="F255" s="1" t="s">
        <v>47</v>
      </c>
    </row>
    <row r="256" spans="1:7" ht="18" x14ac:dyDescent="0.2">
      <c r="C256" s="272">
        <f>FV(C253/100,C252,C255,C254)</f>
        <v>417719.81329510908</v>
      </c>
      <c r="D256" s="271">
        <f>FV(D253/100,D252,D255,D254)</f>
        <v>51058.051641720835</v>
      </c>
      <c r="E256" s="266">
        <f>FV(E253/100,E252,E255,E254)</f>
        <v>39336.104964682541</v>
      </c>
      <c r="F256" s="1" t="s">
        <v>50</v>
      </c>
      <c r="G256" s="1" t="s">
        <v>51</v>
      </c>
    </row>
    <row r="257" spans="1:8" ht="19" thickBot="1" x14ac:dyDescent="0.25">
      <c r="C257" s="48" t="s">
        <v>297</v>
      </c>
      <c r="D257" s="12"/>
      <c r="E257" s="12"/>
    </row>
    <row r="258" spans="1:8" ht="17" thickBot="1" x14ac:dyDescent="0.25"/>
    <row r="259" spans="1:8" x14ac:dyDescent="0.2">
      <c r="A259" s="21" t="s">
        <v>319</v>
      </c>
      <c r="B259" s="31"/>
      <c r="C259" s="31"/>
      <c r="D259" s="31"/>
      <c r="E259" s="31"/>
      <c r="F259" s="31"/>
      <c r="G259" s="31"/>
      <c r="H259" s="23"/>
    </row>
    <row r="260" spans="1:8" x14ac:dyDescent="0.2">
      <c r="A260" s="24" t="s">
        <v>320</v>
      </c>
      <c r="H260" s="25"/>
    </row>
    <row r="261" spans="1:8" x14ac:dyDescent="0.2">
      <c r="A261" s="24" t="s">
        <v>321</v>
      </c>
      <c r="H261" s="25"/>
    </row>
    <row r="262" spans="1:8" x14ac:dyDescent="0.2">
      <c r="A262" s="24" t="s">
        <v>322</v>
      </c>
      <c r="H262" s="25"/>
    </row>
    <row r="263" spans="1:8" x14ac:dyDescent="0.2">
      <c r="A263" s="24" t="s">
        <v>323</v>
      </c>
      <c r="H263" s="25"/>
    </row>
    <row r="264" spans="1:8" x14ac:dyDescent="0.2">
      <c r="A264" s="24"/>
      <c r="H264" s="25"/>
    </row>
    <row r="265" spans="1:8" x14ac:dyDescent="0.2">
      <c r="A265" s="24"/>
      <c r="H265" s="25"/>
    </row>
    <row r="266" spans="1:8" ht="17" thickBot="1" x14ac:dyDescent="0.25">
      <c r="A266" s="26"/>
      <c r="B266" s="27"/>
      <c r="C266" s="27"/>
      <c r="D266" s="27"/>
      <c r="E266" s="27"/>
      <c r="F266" s="27"/>
      <c r="G266" s="27"/>
      <c r="H266" s="28"/>
    </row>
    <row r="268" spans="1:8" x14ac:dyDescent="0.2">
      <c r="A268" s="273" t="s">
        <v>1658</v>
      </c>
      <c r="B268" s="273"/>
      <c r="C268" s="273"/>
      <c r="D268" s="273"/>
      <c r="E268" s="273"/>
      <c r="F268" s="273"/>
      <c r="G268" s="273"/>
      <c r="H268" s="273"/>
    </row>
    <row r="269" spans="1:8" x14ac:dyDescent="0.2">
      <c r="A269" s="1" t="s">
        <v>1659</v>
      </c>
    </row>
    <row r="270" spans="1:8" x14ac:dyDescent="0.2">
      <c r="A270" s="1" t="s">
        <v>1660</v>
      </c>
    </row>
    <row r="271" spans="1:8" x14ac:dyDescent="0.2">
      <c r="A271" s="1" t="s">
        <v>1661</v>
      </c>
    </row>
    <row r="272" spans="1:8" x14ac:dyDescent="0.2">
      <c r="A272" s="1" t="s">
        <v>1662</v>
      </c>
    </row>
    <row r="273" spans="1:8" x14ac:dyDescent="0.2">
      <c r="A273" s="1" t="s">
        <v>1664</v>
      </c>
    </row>
    <row r="274" spans="1:8" x14ac:dyDescent="0.2">
      <c r="A274" s="1" t="s">
        <v>1663</v>
      </c>
    </row>
    <row r="276" spans="1:8" x14ac:dyDescent="0.2">
      <c r="D276" s="59" t="s">
        <v>292</v>
      </c>
      <c r="E276" s="59" t="s">
        <v>291</v>
      </c>
      <c r="F276" s="59" t="s">
        <v>290</v>
      </c>
    </row>
    <row r="277" spans="1:8" x14ac:dyDescent="0.2">
      <c r="D277" s="12" t="s">
        <v>179</v>
      </c>
      <c r="E277" s="12" t="s">
        <v>179</v>
      </c>
      <c r="F277" s="12" t="s">
        <v>179</v>
      </c>
      <c r="G277" s="1" t="s">
        <v>178</v>
      </c>
    </row>
    <row r="278" spans="1:8" x14ac:dyDescent="0.2">
      <c r="D278" s="12">
        <f>5*1</f>
        <v>5</v>
      </c>
      <c r="E278" s="12">
        <f>6*4</f>
        <v>24</v>
      </c>
      <c r="F278" s="12">
        <f>4*2</f>
        <v>8</v>
      </c>
      <c r="G278" s="1" t="s">
        <v>45</v>
      </c>
    </row>
    <row r="279" spans="1:8" x14ac:dyDescent="0.2">
      <c r="D279" s="12">
        <v>5</v>
      </c>
      <c r="E279" s="12">
        <v>2</v>
      </c>
      <c r="F279" s="12">
        <v>3</v>
      </c>
      <c r="G279" s="1" t="s">
        <v>42</v>
      </c>
    </row>
    <row r="280" spans="1:8" x14ac:dyDescent="0.2">
      <c r="D280" s="74">
        <f>-E282</f>
        <v>-75146.489479168464</v>
      </c>
      <c r="E280" s="74">
        <f>-F282</f>
        <v>-8892.3360462538658</v>
      </c>
      <c r="F280" s="74">
        <v>0</v>
      </c>
      <c r="G280" s="1" t="s">
        <v>39</v>
      </c>
    </row>
    <row r="281" spans="1:8" x14ac:dyDescent="0.2">
      <c r="D281" s="74">
        <v>-4000</v>
      </c>
      <c r="E281" s="74">
        <v>-2000</v>
      </c>
      <c r="F281" s="74">
        <v>-1000</v>
      </c>
      <c r="G281" s="1" t="s">
        <v>47</v>
      </c>
    </row>
    <row r="282" spans="1:8" x14ac:dyDescent="0.2">
      <c r="D282" s="274">
        <f>FV(D279/100,D278,D281,D280)</f>
        <v>118010.60400886295</v>
      </c>
      <c r="E282" s="74">
        <f>FV(E279/100,E278,E281,E280)</f>
        <v>75146.489479168464</v>
      </c>
      <c r="F282" s="74">
        <f>FV(F279/100,F278,F281,F280)</f>
        <v>8892.3360462538658</v>
      </c>
      <c r="G282" s="1" t="s">
        <v>50</v>
      </c>
    </row>
    <row r="284" spans="1:8" x14ac:dyDescent="0.2">
      <c r="A284" s="273" t="s">
        <v>1658</v>
      </c>
      <c r="B284" s="273"/>
      <c r="C284" s="273"/>
      <c r="D284" s="273"/>
      <c r="E284" s="273"/>
      <c r="F284" s="273"/>
      <c r="G284" s="273"/>
      <c r="H284" s="273"/>
    </row>
    <row r="285" spans="1:8" x14ac:dyDescent="0.2">
      <c r="A285" s="1" t="s">
        <v>1665</v>
      </c>
    </row>
    <row r="286" spans="1:8" x14ac:dyDescent="0.2">
      <c r="A286" s="1" t="s">
        <v>1666</v>
      </c>
    </row>
    <row r="287" spans="1:8" x14ac:dyDescent="0.2">
      <c r="A287" s="1" t="s">
        <v>1667</v>
      </c>
    </row>
    <row r="288" spans="1:8" x14ac:dyDescent="0.2">
      <c r="A288" s="1" t="s">
        <v>1668</v>
      </c>
    </row>
    <row r="289" spans="1:9" x14ac:dyDescent="0.2">
      <c r="H289" s="1" t="s">
        <v>1669</v>
      </c>
    </row>
    <row r="290" spans="1:9" x14ac:dyDescent="0.2">
      <c r="D290" s="59" t="s">
        <v>291</v>
      </c>
      <c r="E290" s="59" t="s">
        <v>290</v>
      </c>
      <c r="H290" s="1" t="s">
        <v>1670</v>
      </c>
    </row>
    <row r="291" spans="1:9" x14ac:dyDescent="0.2">
      <c r="D291" s="12" t="s">
        <v>179</v>
      </c>
      <c r="E291" s="12" t="s">
        <v>179</v>
      </c>
      <c r="F291" s="1" t="s">
        <v>178</v>
      </c>
      <c r="H291" s="1" t="s">
        <v>1671</v>
      </c>
    </row>
    <row r="292" spans="1:9" x14ac:dyDescent="0.2">
      <c r="D292" s="12">
        <f>2*12</f>
        <v>24</v>
      </c>
      <c r="E292" s="12">
        <f>4*12</f>
        <v>48</v>
      </c>
      <c r="F292" s="1" t="s">
        <v>45</v>
      </c>
    </row>
    <row r="293" spans="1:9" x14ac:dyDescent="0.2">
      <c r="D293" s="12">
        <v>1</v>
      </c>
      <c r="E293" s="12">
        <v>1</v>
      </c>
      <c r="F293" s="1" t="s">
        <v>42</v>
      </c>
    </row>
    <row r="294" spans="1:9" x14ac:dyDescent="0.2">
      <c r="D294" s="36">
        <f>-E296</f>
        <v>-61222.607768246526</v>
      </c>
      <c r="E294" s="12">
        <v>0</v>
      </c>
      <c r="F294" s="1" t="s">
        <v>39</v>
      </c>
    </row>
    <row r="295" spans="1:9" x14ac:dyDescent="0.2">
      <c r="D295" s="12">
        <v>0</v>
      </c>
      <c r="E295" s="12">
        <v>-1000</v>
      </c>
      <c r="F295" s="1" t="s">
        <v>47</v>
      </c>
      <c r="I295" s="1" t="s">
        <v>1672</v>
      </c>
    </row>
    <row r="296" spans="1:9" x14ac:dyDescent="0.2">
      <c r="A296" s="1" t="s">
        <v>1677</v>
      </c>
      <c r="D296" s="42">
        <f>FV(D293/100,D292,D295,D294)</f>
        <v>77736.466356821795</v>
      </c>
      <c r="E296" s="36">
        <f>FV(E293/100,E292,E295,E294)</f>
        <v>61222.607768246526</v>
      </c>
      <c r="F296" s="1" t="s">
        <v>50</v>
      </c>
    </row>
    <row r="297" spans="1:9" x14ac:dyDescent="0.2">
      <c r="A297" s="1" t="s">
        <v>1673</v>
      </c>
    </row>
    <row r="298" spans="1:9" x14ac:dyDescent="0.2">
      <c r="A298" s="1" t="s">
        <v>1674</v>
      </c>
    </row>
    <row r="299" spans="1:9" x14ac:dyDescent="0.2">
      <c r="A299" s="1" t="s">
        <v>294</v>
      </c>
    </row>
    <row r="300" spans="1:9" x14ac:dyDescent="0.2">
      <c r="A300" s="1" t="s">
        <v>1675</v>
      </c>
    </row>
    <row r="301" spans="1:9" x14ac:dyDescent="0.2">
      <c r="A301" s="1" t="s">
        <v>1676</v>
      </c>
    </row>
    <row r="309" spans="1:8" x14ac:dyDescent="0.2">
      <c r="A309" s="49" t="s">
        <v>324</v>
      </c>
      <c r="B309" s="49"/>
      <c r="C309" s="49"/>
      <c r="D309" s="49"/>
      <c r="E309" s="49"/>
      <c r="F309" s="49"/>
      <c r="G309" s="49"/>
      <c r="H309" s="49"/>
    </row>
    <row r="311" spans="1:8" x14ac:dyDescent="0.2">
      <c r="A311" s="50" t="s">
        <v>200</v>
      </c>
      <c r="B311" s="50"/>
      <c r="C311" s="50"/>
      <c r="D311" s="50"/>
      <c r="E311" s="50"/>
      <c r="F311" s="50"/>
      <c r="G311" s="50"/>
      <c r="H311" s="50"/>
    </row>
    <row r="312" spans="1:8" x14ac:dyDescent="0.2">
      <c r="A312" s="1" t="s">
        <v>325</v>
      </c>
    </row>
    <row r="313" spans="1:8" x14ac:dyDescent="0.2">
      <c r="A313" s="1" t="s">
        <v>326</v>
      </c>
    </row>
    <row r="315" spans="1:8" x14ac:dyDescent="0.2">
      <c r="A315" s="1" t="s">
        <v>27</v>
      </c>
    </row>
    <row r="317" spans="1:8" x14ac:dyDescent="0.2">
      <c r="C317" s="12"/>
      <c r="D317" s="32" t="s">
        <v>177</v>
      </c>
    </row>
    <row r="318" spans="1:8" x14ac:dyDescent="0.2">
      <c r="C318" s="12" t="s">
        <v>179</v>
      </c>
      <c r="D318" s="1" t="s">
        <v>178</v>
      </c>
    </row>
    <row r="319" spans="1:8" x14ac:dyDescent="0.2">
      <c r="C319" s="12">
        <v>8</v>
      </c>
      <c r="D319" s="1" t="s">
        <v>45</v>
      </c>
    </row>
    <row r="320" spans="1:8" x14ac:dyDescent="0.2">
      <c r="C320" s="12">
        <v>5</v>
      </c>
      <c r="D320" s="1" t="s">
        <v>42</v>
      </c>
    </row>
    <row r="321" spans="1:8" x14ac:dyDescent="0.2">
      <c r="C321" s="12">
        <v>-50000</v>
      </c>
      <c r="D321" s="1" t="s">
        <v>39</v>
      </c>
    </row>
    <row r="322" spans="1:8" x14ac:dyDescent="0.2">
      <c r="C322" s="12">
        <v>0</v>
      </c>
      <c r="D322" s="1" t="s">
        <v>47</v>
      </c>
    </row>
    <row r="323" spans="1:8" x14ac:dyDescent="0.2">
      <c r="C323" s="41">
        <f>FV(C320/100,C319,C322,C321)</f>
        <v>73872.772189453128</v>
      </c>
      <c r="D323" s="1" t="s">
        <v>50</v>
      </c>
    </row>
    <row r="325" spans="1:8" x14ac:dyDescent="0.2">
      <c r="A325" s="50" t="s">
        <v>327</v>
      </c>
      <c r="B325" s="50"/>
      <c r="C325" s="50"/>
      <c r="D325" s="50"/>
      <c r="E325" s="50"/>
      <c r="F325" s="50"/>
      <c r="G325" s="50"/>
      <c r="H325" s="50"/>
    </row>
    <row r="326" spans="1:8" x14ac:dyDescent="0.2">
      <c r="A326" s="1" t="s">
        <v>1678</v>
      </c>
    </row>
    <row r="327" spans="1:8" x14ac:dyDescent="0.2">
      <c r="A327" s="1" t="s">
        <v>326</v>
      </c>
    </row>
    <row r="329" spans="1:8" x14ac:dyDescent="0.2">
      <c r="A329" s="1" t="s">
        <v>27</v>
      </c>
    </row>
    <row r="331" spans="1:8" x14ac:dyDescent="0.2">
      <c r="C331" s="12"/>
      <c r="D331" s="32" t="s">
        <v>177</v>
      </c>
    </row>
    <row r="332" spans="1:8" x14ac:dyDescent="0.2">
      <c r="C332" s="12" t="s">
        <v>179</v>
      </c>
      <c r="D332" s="1" t="s">
        <v>178</v>
      </c>
    </row>
    <row r="333" spans="1:8" x14ac:dyDescent="0.2">
      <c r="C333" s="12">
        <f>8*4</f>
        <v>32</v>
      </c>
      <c r="D333" s="1" t="s">
        <v>45</v>
      </c>
      <c r="E333" s="1" t="s">
        <v>328</v>
      </c>
    </row>
    <row r="334" spans="1:8" x14ac:dyDescent="0.2">
      <c r="C334" s="12">
        <v>2</v>
      </c>
      <c r="D334" s="1" t="s">
        <v>42</v>
      </c>
    </row>
    <row r="335" spans="1:8" x14ac:dyDescent="0.2">
      <c r="C335" s="12">
        <v>-50000</v>
      </c>
      <c r="D335" s="1" t="s">
        <v>39</v>
      </c>
    </row>
    <row r="336" spans="1:8" x14ac:dyDescent="0.2">
      <c r="C336" s="12">
        <v>0</v>
      </c>
      <c r="D336" s="1" t="s">
        <v>47</v>
      </c>
    </row>
    <row r="337" spans="1:8" x14ac:dyDescent="0.2">
      <c r="C337" s="41">
        <f>FV(C334/100,C333,C336,C335)</f>
        <v>94227.02960505645</v>
      </c>
      <c r="D337" s="1" t="s">
        <v>50</v>
      </c>
    </row>
    <row r="339" spans="1:8" x14ac:dyDescent="0.2">
      <c r="A339" s="50" t="s">
        <v>329</v>
      </c>
      <c r="B339" s="50"/>
      <c r="C339" s="50"/>
      <c r="D339" s="50"/>
      <c r="E339" s="50"/>
      <c r="F339" s="50"/>
      <c r="G339" s="50"/>
      <c r="H339" s="50"/>
    </row>
    <row r="340" spans="1:8" x14ac:dyDescent="0.2">
      <c r="A340" s="1" t="s">
        <v>331</v>
      </c>
    </row>
    <row r="341" spans="1:8" x14ac:dyDescent="0.2">
      <c r="A341" s="1" t="s">
        <v>330</v>
      </c>
    </row>
    <row r="343" spans="1:8" x14ac:dyDescent="0.2">
      <c r="A343" s="1" t="s">
        <v>27</v>
      </c>
    </row>
    <row r="345" spans="1:8" x14ac:dyDescent="0.2">
      <c r="C345" s="12"/>
      <c r="D345" s="32" t="s">
        <v>177</v>
      </c>
    </row>
    <row r="346" spans="1:8" x14ac:dyDescent="0.2">
      <c r="B346" s="12" t="s">
        <v>179</v>
      </c>
      <c r="C346" s="12" t="s">
        <v>179</v>
      </c>
      <c r="D346" s="1" t="s">
        <v>178</v>
      </c>
    </row>
    <row r="347" spans="1:8" x14ac:dyDescent="0.2">
      <c r="B347" s="12">
        <v>4</v>
      </c>
      <c r="C347" s="12">
        <v>4</v>
      </c>
      <c r="D347" s="1" t="s">
        <v>45</v>
      </c>
    </row>
    <row r="348" spans="1:8" x14ac:dyDescent="0.2">
      <c r="B348" s="12">
        <v>3</v>
      </c>
      <c r="C348" s="12">
        <v>2</v>
      </c>
      <c r="D348" s="1" t="s">
        <v>42</v>
      </c>
    </row>
    <row r="349" spans="1:8" x14ac:dyDescent="0.2">
      <c r="B349" s="36">
        <f>-C351</f>
        <v>-54121.608</v>
      </c>
      <c r="C349" s="12">
        <v>-50000</v>
      </c>
      <c r="D349" s="1" t="s">
        <v>39</v>
      </c>
    </row>
    <row r="350" spans="1:8" ht="17" thickBot="1" x14ac:dyDescent="0.25">
      <c r="B350" s="12"/>
      <c r="C350" s="12">
        <v>0</v>
      </c>
      <c r="D350" s="1" t="s">
        <v>47</v>
      </c>
    </row>
    <row r="351" spans="1:8" x14ac:dyDescent="0.2">
      <c r="B351" s="51">
        <f>FV(B348/100,B347,B350,B349)</f>
        <v>60914.346615366478</v>
      </c>
      <c r="C351" s="41">
        <f>FV(C348/100,C347,C350,C349)</f>
        <v>54121.608</v>
      </c>
      <c r="D351" s="1" t="s">
        <v>50</v>
      </c>
    </row>
    <row r="352" spans="1:8" ht="17" thickBot="1" x14ac:dyDescent="0.25">
      <c r="B352" s="44" t="s">
        <v>297</v>
      </c>
    </row>
    <row r="354" spans="1:8" x14ac:dyDescent="0.2">
      <c r="A354" s="50" t="s">
        <v>332</v>
      </c>
      <c r="B354" s="50"/>
      <c r="C354" s="50"/>
      <c r="D354" s="50"/>
      <c r="E354" s="50"/>
      <c r="F354" s="50"/>
      <c r="G354" s="50"/>
      <c r="H354" s="50"/>
    </row>
    <row r="355" spans="1:8" x14ac:dyDescent="0.2">
      <c r="A355" s="1" t="s">
        <v>334</v>
      </c>
    </row>
    <row r="356" spans="1:8" x14ac:dyDescent="0.2">
      <c r="A356" s="1" t="s">
        <v>333</v>
      </c>
    </row>
    <row r="358" spans="1:8" x14ac:dyDescent="0.2">
      <c r="A358" s="1" t="s">
        <v>27</v>
      </c>
    </row>
    <row r="360" spans="1:8" x14ac:dyDescent="0.2">
      <c r="C360" s="12"/>
      <c r="D360" s="32" t="s">
        <v>177</v>
      </c>
    </row>
    <row r="361" spans="1:8" x14ac:dyDescent="0.2">
      <c r="B361" s="12" t="s">
        <v>179</v>
      </c>
      <c r="C361" s="12" t="s">
        <v>179</v>
      </c>
      <c r="D361" s="1" t="s">
        <v>178</v>
      </c>
    </row>
    <row r="362" spans="1:8" x14ac:dyDescent="0.2">
      <c r="B362" s="12">
        <v>5</v>
      </c>
      <c r="C362" s="12">
        <f>2*4</f>
        <v>8</v>
      </c>
      <c r="D362" s="1" t="s">
        <v>45</v>
      </c>
    </row>
    <row r="363" spans="1:8" x14ac:dyDescent="0.2">
      <c r="B363" s="12">
        <v>3</v>
      </c>
      <c r="C363" s="12">
        <v>2</v>
      </c>
      <c r="D363" s="1" t="s">
        <v>42</v>
      </c>
    </row>
    <row r="364" spans="1:8" x14ac:dyDescent="0.2">
      <c r="B364" s="36">
        <f>-C366</f>
        <v>-93732.750480181247</v>
      </c>
      <c r="C364" s="12">
        <v>-80000</v>
      </c>
      <c r="D364" s="1" t="s">
        <v>39</v>
      </c>
    </row>
    <row r="365" spans="1:8" ht="17" thickBot="1" x14ac:dyDescent="0.25">
      <c r="B365" s="12">
        <v>0</v>
      </c>
      <c r="C365" s="12">
        <v>0</v>
      </c>
      <c r="D365" s="1" t="s">
        <v>47</v>
      </c>
    </row>
    <row r="366" spans="1:8" x14ac:dyDescent="0.2">
      <c r="B366" s="51">
        <f>FV(B363/100,B362,B365,B364)</f>
        <v>108661.94754450498</v>
      </c>
      <c r="C366" s="41">
        <f>FV(C363/100,C362,C365,C364)</f>
        <v>93732.750480181247</v>
      </c>
      <c r="D366" s="1" t="s">
        <v>50</v>
      </c>
    </row>
    <row r="367" spans="1:8" ht="17" thickBot="1" x14ac:dyDescent="0.25">
      <c r="B367" s="44" t="s">
        <v>297</v>
      </c>
    </row>
    <row r="369" spans="1:8" x14ac:dyDescent="0.2">
      <c r="A369" s="50" t="s">
        <v>335</v>
      </c>
      <c r="B369" s="50"/>
      <c r="C369" s="50"/>
      <c r="D369" s="50"/>
      <c r="E369" s="50"/>
      <c r="F369" s="50"/>
      <c r="G369" s="50"/>
      <c r="H369" s="50"/>
    </row>
    <row r="370" spans="1:8" x14ac:dyDescent="0.2">
      <c r="A370" s="1" t="s">
        <v>336</v>
      </c>
    </row>
    <row r="371" spans="1:8" x14ac:dyDescent="0.2">
      <c r="A371" s="1" t="s">
        <v>337</v>
      </c>
    </row>
    <row r="373" spans="1:8" x14ac:dyDescent="0.2">
      <c r="A373" s="1" t="s">
        <v>27</v>
      </c>
    </row>
    <row r="375" spans="1:8" x14ac:dyDescent="0.2">
      <c r="C375" s="12"/>
      <c r="D375" s="32" t="s">
        <v>177</v>
      </c>
    </row>
    <row r="376" spans="1:8" x14ac:dyDescent="0.2">
      <c r="B376" s="52" t="s">
        <v>179</v>
      </c>
      <c r="C376" s="12" t="s">
        <v>179</v>
      </c>
      <c r="D376" s="1" t="s">
        <v>178</v>
      </c>
    </row>
    <row r="377" spans="1:8" x14ac:dyDescent="0.2">
      <c r="B377" s="52">
        <v>5</v>
      </c>
      <c r="C377" s="12">
        <f>7*12</f>
        <v>84</v>
      </c>
      <c r="D377" s="1" t="s">
        <v>45</v>
      </c>
    </row>
    <row r="378" spans="1:8" x14ac:dyDescent="0.2">
      <c r="B378" s="52">
        <v>3</v>
      </c>
      <c r="C378" s="12">
        <v>2</v>
      </c>
      <c r="D378" s="1" t="s">
        <v>42</v>
      </c>
    </row>
    <row r="379" spans="1:8" x14ac:dyDescent="0.2">
      <c r="B379" s="53">
        <f>-C381</f>
        <v>-855466.42733639793</v>
      </c>
      <c r="C379" s="12">
        <v>0</v>
      </c>
      <c r="D379" s="1" t="s">
        <v>39</v>
      </c>
    </row>
    <row r="380" spans="1:8" x14ac:dyDescent="0.2">
      <c r="B380" s="52">
        <v>0</v>
      </c>
      <c r="C380" s="12">
        <v>-4000</v>
      </c>
      <c r="D380" s="1" t="s">
        <v>47</v>
      </c>
    </row>
    <row r="381" spans="1:8" x14ac:dyDescent="0.2">
      <c r="B381" s="54">
        <f>FV(B378/100,B377,B380,B379)</f>
        <v>991720.0506451308</v>
      </c>
      <c r="C381" s="41">
        <f>FV(C378/100,C377,C380,C379)</f>
        <v>855466.42733639793</v>
      </c>
      <c r="D381" s="1" t="s">
        <v>50</v>
      </c>
    </row>
    <row r="382" spans="1:8" x14ac:dyDescent="0.2">
      <c r="B382" s="52" t="s">
        <v>297</v>
      </c>
    </row>
    <row r="383" spans="1:8" x14ac:dyDescent="0.2">
      <c r="A383" s="50" t="s">
        <v>338</v>
      </c>
      <c r="B383" s="50"/>
      <c r="C383" s="50"/>
      <c r="D383" s="50"/>
      <c r="E383" s="50"/>
      <c r="F383" s="50"/>
      <c r="G383" s="50"/>
      <c r="H383" s="50"/>
    </row>
    <row r="384" spans="1:8" x14ac:dyDescent="0.2">
      <c r="A384" s="1" t="s">
        <v>339</v>
      </c>
    </row>
    <row r="385" spans="1:8" x14ac:dyDescent="0.2">
      <c r="A385" s="1" t="s">
        <v>371</v>
      </c>
    </row>
    <row r="387" spans="1:8" x14ac:dyDescent="0.2">
      <c r="A387" s="1" t="s">
        <v>27</v>
      </c>
    </row>
    <row r="389" spans="1:8" x14ac:dyDescent="0.2">
      <c r="C389" s="12"/>
      <c r="D389" s="32" t="s">
        <v>177</v>
      </c>
    </row>
    <row r="390" spans="1:8" x14ac:dyDescent="0.2">
      <c r="B390" s="52" t="s">
        <v>179</v>
      </c>
      <c r="C390" s="12" t="s">
        <v>179</v>
      </c>
      <c r="D390" s="1" t="s">
        <v>178</v>
      </c>
    </row>
    <row r="391" spans="1:8" x14ac:dyDescent="0.2">
      <c r="B391" s="52">
        <v>5</v>
      </c>
      <c r="C391" s="12">
        <f>10*12</f>
        <v>120</v>
      </c>
      <c r="D391" s="1" t="s">
        <v>45</v>
      </c>
    </row>
    <row r="392" spans="1:8" x14ac:dyDescent="0.2">
      <c r="B392" s="52">
        <v>3</v>
      </c>
      <c r="C392" s="12">
        <v>0.4</v>
      </c>
      <c r="D392" s="1" t="s">
        <v>42</v>
      </c>
    </row>
    <row r="393" spans="1:8" x14ac:dyDescent="0.2">
      <c r="B393" s="53">
        <f>-C395</f>
        <v>-633902.17007410759</v>
      </c>
      <c r="C393" s="12">
        <v>-12000</v>
      </c>
      <c r="D393" s="1" t="s">
        <v>39</v>
      </c>
    </row>
    <row r="394" spans="1:8" x14ac:dyDescent="0.2">
      <c r="B394" s="52">
        <v>0</v>
      </c>
      <c r="C394" s="12">
        <v>-4000</v>
      </c>
      <c r="D394" s="1" t="s">
        <v>47</v>
      </c>
    </row>
    <row r="395" spans="1:8" x14ac:dyDescent="0.2">
      <c r="B395" s="54">
        <f>FV(B392/100,B391,B394,B393)</f>
        <v>734866.35140942212</v>
      </c>
      <c r="C395" s="41">
        <f>FV(C392/100,C391,C394,C393)</f>
        <v>633902.17007410759</v>
      </c>
      <c r="D395" s="1" t="s">
        <v>50</v>
      </c>
    </row>
    <row r="397" spans="1:8" x14ac:dyDescent="0.2">
      <c r="A397" s="50" t="s">
        <v>340</v>
      </c>
      <c r="B397" s="50"/>
      <c r="C397" s="50"/>
      <c r="D397" s="50"/>
      <c r="E397" s="50"/>
      <c r="F397" s="50"/>
      <c r="G397" s="50"/>
      <c r="H397" s="50"/>
    </row>
    <row r="398" spans="1:8" x14ac:dyDescent="0.2">
      <c r="A398" s="1" t="s">
        <v>341</v>
      </c>
    </row>
    <row r="399" spans="1:8" x14ac:dyDescent="0.2">
      <c r="A399" s="1" t="s">
        <v>342</v>
      </c>
    </row>
    <row r="400" spans="1:8" x14ac:dyDescent="0.2">
      <c r="A400" s="1" t="s">
        <v>343</v>
      </c>
    </row>
    <row r="402" spans="1:8" x14ac:dyDescent="0.2">
      <c r="A402" s="1" t="s">
        <v>27</v>
      </c>
    </row>
    <row r="404" spans="1:8" x14ac:dyDescent="0.2">
      <c r="C404" s="12"/>
      <c r="D404" s="32" t="s">
        <v>177</v>
      </c>
    </row>
    <row r="405" spans="1:8" x14ac:dyDescent="0.2">
      <c r="B405" s="12" t="s">
        <v>179</v>
      </c>
      <c r="C405" s="12" t="s">
        <v>179</v>
      </c>
      <c r="D405" s="1" t="s">
        <v>178</v>
      </c>
    </row>
    <row r="406" spans="1:8" x14ac:dyDescent="0.2">
      <c r="B406" s="12">
        <f>6*12</f>
        <v>72</v>
      </c>
      <c r="C406" s="12">
        <f>3*12</f>
        <v>36</v>
      </c>
      <c r="D406" s="1" t="s">
        <v>45</v>
      </c>
    </row>
    <row r="407" spans="1:8" x14ac:dyDescent="0.2">
      <c r="B407" s="12">
        <v>2</v>
      </c>
      <c r="C407" s="12">
        <v>2</v>
      </c>
      <c r="D407" s="1" t="s">
        <v>42</v>
      </c>
    </row>
    <row r="408" spans="1:8" x14ac:dyDescent="0.2">
      <c r="B408" s="36">
        <f>-C410</f>
        <v>-215185.35468304146</v>
      </c>
      <c r="C408" s="12">
        <v>-80000</v>
      </c>
      <c r="D408" s="1" t="s">
        <v>39</v>
      </c>
    </row>
    <row r="409" spans="1:8" ht="17" thickBot="1" x14ac:dyDescent="0.25">
      <c r="B409" s="12">
        <v>-2000</v>
      </c>
      <c r="C409" s="12">
        <v>-1000</v>
      </c>
      <c r="D409" s="1" t="s">
        <v>47</v>
      </c>
    </row>
    <row r="410" spans="1:8" x14ac:dyDescent="0.2">
      <c r="B410" s="51">
        <f>FV(B407/100,B406,B409,B408)</f>
        <v>1211530.5049965344</v>
      </c>
      <c r="C410" s="41">
        <f>FV(C407/100,C406,C409,C408)</f>
        <v>215185.35468304146</v>
      </c>
      <c r="D410" s="1" t="s">
        <v>50</v>
      </c>
    </row>
    <row r="411" spans="1:8" ht="17" thickBot="1" x14ac:dyDescent="0.25">
      <c r="B411" s="44" t="s">
        <v>297</v>
      </c>
    </row>
    <row r="413" spans="1:8" x14ac:dyDescent="0.2">
      <c r="A413" s="50" t="s">
        <v>344</v>
      </c>
      <c r="B413" s="50"/>
      <c r="C413" s="50"/>
      <c r="D413" s="50"/>
      <c r="E413" s="50"/>
      <c r="F413" s="50"/>
      <c r="G413" s="50"/>
      <c r="H413" s="50"/>
    </row>
    <row r="414" spans="1:8" x14ac:dyDescent="0.2">
      <c r="A414" s="1" t="s">
        <v>345</v>
      </c>
    </row>
    <row r="415" spans="1:8" x14ac:dyDescent="0.2">
      <c r="A415" s="1" t="s">
        <v>346</v>
      </c>
    </row>
    <row r="416" spans="1:8" x14ac:dyDescent="0.2">
      <c r="A416" s="1" t="s">
        <v>347</v>
      </c>
    </row>
    <row r="418" spans="1:8" x14ac:dyDescent="0.2">
      <c r="A418" s="1" t="s">
        <v>27</v>
      </c>
    </row>
    <row r="420" spans="1:8" x14ac:dyDescent="0.2">
      <c r="C420" s="12"/>
      <c r="D420" s="32" t="s">
        <v>177</v>
      </c>
    </row>
    <row r="421" spans="1:8" x14ac:dyDescent="0.2">
      <c r="B421" s="12" t="s">
        <v>179</v>
      </c>
      <c r="C421" s="12" t="s">
        <v>179</v>
      </c>
      <c r="D421" s="1" t="s">
        <v>178</v>
      </c>
    </row>
    <row r="422" spans="1:8" x14ac:dyDescent="0.2">
      <c r="B422" s="12">
        <f>9*12</f>
        <v>108</v>
      </c>
      <c r="C422" s="12">
        <f>3*12</f>
        <v>36</v>
      </c>
      <c r="D422" s="1" t="s">
        <v>45</v>
      </c>
    </row>
    <row r="423" spans="1:8" x14ac:dyDescent="0.2">
      <c r="B423" s="12">
        <v>1</v>
      </c>
      <c r="C423" s="12">
        <v>1</v>
      </c>
      <c r="D423" s="1" t="s">
        <v>42</v>
      </c>
    </row>
    <row r="424" spans="1:8" x14ac:dyDescent="0.2">
      <c r="B424" s="36">
        <f>-C426</f>
        <v>-193461.41548768478</v>
      </c>
      <c r="C424" s="12">
        <v>-75000</v>
      </c>
      <c r="D424" s="1" t="s">
        <v>39</v>
      </c>
    </row>
    <row r="425" spans="1:8" ht="17" thickBot="1" x14ac:dyDescent="0.25">
      <c r="B425" s="12">
        <v>0</v>
      </c>
      <c r="C425" s="12">
        <v>-2000</v>
      </c>
      <c r="D425" s="1" t="s">
        <v>47</v>
      </c>
    </row>
    <row r="426" spans="1:8" x14ac:dyDescent="0.2">
      <c r="B426" s="51">
        <f>FV(B423/100,B422,B425,B424)</f>
        <v>566634.12970729603</v>
      </c>
      <c r="C426" s="41">
        <f>FV(C423/100,C422,C425,C424)</f>
        <v>193461.41548768478</v>
      </c>
      <c r="D426" s="1" t="s">
        <v>50</v>
      </c>
    </row>
    <row r="427" spans="1:8" ht="17" thickBot="1" x14ac:dyDescent="0.25">
      <c r="B427" s="44" t="s">
        <v>297</v>
      </c>
    </row>
    <row r="429" spans="1:8" x14ac:dyDescent="0.2">
      <c r="A429" s="50" t="s">
        <v>348</v>
      </c>
      <c r="B429" s="50"/>
      <c r="C429" s="50"/>
      <c r="D429" s="50"/>
      <c r="E429" s="50"/>
      <c r="F429" s="50"/>
      <c r="G429" s="50"/>
      <c r="H429" s="50"/>
    </row>
    <row r="430" spans="1:8" x14ac:dyDescent="0.2">
      <c r="A430" s="1" t="s">
        <v>358</v>
      </c>
    </row>
    <row r="431" spans="1:8" x14ac:dyDescent="0.2">
      <c r="A431" s="1" t="s">
        <v>355</v>
      </c>
    </row>
    <row r="432" spans="1:8" x14ac:dyDescent="0.2">
      <c r="A432" s="1" t="s">
        <v>349</v>
      </c>
    </row>
    <row r="433" spans="1:7" x14ac:dyDescent="0.2">
      <c r="A433" s="1" t="s">
        <v>350</v>
      </c>
    </row>
    <row r="434" spans="1:7" x14ac:dyDescent="0.2">
      <c r="A434" s="1" t="s">
        <v>372</v>
      </c>
    </row>
    <row r="435" spans="1:7" x14ac:dyDescent="0.2">
      <c r="A435" s="1" t="s">
        <v>356</v>
      </c>
    </row>
    <row r="437" spans="1:7" x14ac:dyDescent="0.2">
      <c r="A437" s="1" t="s">
        <v>27</v>
      </c>
      <c r="C437" s="12" t="s">
        <v>354</v>
      </c>
      <c r="D437" s="12" t="s">
        <v>354</v>
      </c>
      <c r="E437" s="12" t="s">
        <v>317</v>
      </c>
    </row>
    <row r="438" spans="1:7" x14ac:dyDescent="0.2">
      <c r="C438" s="12" t="s">
        <v>353</v>
      </c>
      <c r="D438" s="12" t="s">
        <v>352</v>
      </c>
      <c r="E438" s="12" t="s">
        <v>351</v>
      </c>
    </row>
    <row r="439" spans="1:7" x14ac:dyDescent="0.2">
      <c r="C439" s="12" t="s">
        <v>292</v>
      </c>
      <c r="D439" s="12" t="s">
        <v>291</v>
      </c>
      <c r="E439" s="12" t="s">
        <v>290</v>
      </c>
      <c r="F439" s="32" t="s">
        <v>177</v>
      </c>
    </row>
    <row r="440" spans="1:7" x14ac:dyDescent="0.2">
      <c r="C440" s="12" t="s">
        <v>179</v>
      </c>
      <c r="D440" s="12" t="s">
        <v>179</v>
      </c>
      <c r="E440" s="12" t="s">
        <v>179</v>
      </c>
      <c r="F440" s="1" t="s">
        <v>178</v>
      </c>
    </row>
    <row r="441" spans="1:7" x14ac:dyDescent="0.2">
      <c r="C441" s="12">
        <f>7*3</f>
        <v>21</v>
      </c>
      <c r="D441" s="55">
        <f>7*2</f>
        <v>14</v>
      </c>
      <c r="E441" s="55">
        <v>4</v>
      </c>
      <c r="F441" s="1" t="s">
        <v>45</v>
      </c>
    </row>
    <row r="442" spans="1:7" x14ac:dyDescent="0.2">
      <c r="C442" s="12">
        <v>0.8</v>
      </c>
      <c r="D442" s="12">
        <v>1.5</v>
      </c>
      <c r="E442" s="12">
        <v>1</v>
      </c>
      <c r="F442" s="1" t="s">
        <v>42</v>
      </c>
    </row>
    <row r="443" spans="1:7" x14ac:dyDescent="0.2">
      <c r="C443" s="45">
        <f>-D445</f>
        <v>-51.270798108024501</v>
      </c>
      <c r="D443" s="42">
        <f>-E445</f>
        <v>-41.624160400000001</v>
      </c>
      <c r="E443" s="12">
        <v>-40</v>
      </c>
      <c r="F443" s="1" t="s">
        <v>39</v>
      </c>
    </row>
    <row r="444" spans="1:7" ht="17" thickBot="1" x14ac:dyDescent="0.25">
      <c r="C444" s="12">
        <v>0</v>
      </c>
      <c r="D444" s="12">
        <v>0</v>
      </c>
      <c r="E444" s="12">
        <v>0</v>
      </c>
      <c r="F444" s="1" t="s">
        <v>47</v>
      </c>
    </row>
    <row r="445" spans="1:7" x14ac:dyDescent="0.2">
      <c r="C445" s="46">
        <f>FV(C442/100,C441,C444,C443)</f>
        <v>60.609576889651358</v>
      </c>
      <c r="D445" s="45">
        <f>FV(D442/100,D441,D444,D443)</f>
        <v>51.270798108024501</v>
      </c>
      <c r="E445" s="41">
        <f>FV(E442/100,E441,E444,E443)</f>
        <v>41.624160400000001</v>
      </c>
      <c r="F445" s="1" t="s">
        <v>50</v>
      </c>
      <c r="G445" s="1" t="s">
        <v>51</v>
      </c>
    </row>
    <row r="446" spans="1:7" ht="17" thickBot="1" x14ac:dyDescent="0.25">
      <c r="C446" s="44" t="s">
        <v>297</v>
      </c>
      <c r="D446" s="12"/>
      <c r="E446" s="12"/>
    </row>
    <row r="447" spans="1:7" x14ac:dyDescent="0.2">
      <c r="C447" s="1" t="s">
        <v>357</v>
      </c>
    </row>
    <row r="449" spans="1:8" x14ac:dyDescent="0.2">
      <c r="A449" s="50" t="s">
        <v>359</v>
      </c>
      <c r="B449" s="50"/>
      <c r="C449" s="50"/>
      <c r="D449" s="50"/>
      <c r="E449" s="50"/>
      <c r="F449" s="50"/>
      <c r="G449" s="50"/>
      <c r="H449" s="50"/>
    </row>
    <row r="450" spans="1:8" x14ac:dyDescent="0.2">
      <c r="A450" s="1" t="s">
        <v>360</v>
      </c>
    </row>
    <row r="451" spans="1:8" x14ac:dyDescent="0.2">
      <c r="A451" s="1" t="s">
        <v>361</v>
      </c>
    </row>
    <row r="452" spans="1:8" x14ac:dyDescent="0.2">
      <c r="A452" s="1" t="s">
        <v>365</v>
      </c>
    </row>
    <row r="453" spans="1:8" x14ac:dyDescent="0.2">
      <c r="A453" s="1" t="s">
        <v>362</v>
      </c>
    </row>
    <row r="454" spans="1:8" x14ac:dyDescent="0.2">
      <c r="A454" s="1" t="s">
        <v>366</v>
      </c>
    </row>
    <row r="455" spans="1:8" x14ac:dyDescent="0.2">
      <c r="A455" s="1" t="s">
        <v>367</v>
      </c>
    </row>
    <row r="456" spans="1:8" x14ac:dyDescent="0.2">
      <c r="A456" s="1" t="s">
        <v>364</v>
      </c>
    </row>
    <row r="457" spans="1:8" x14ac:dyDescent="0.2">
      <c r="A457" s="1" t="s">
        <v>363</v>
      </c>
    </row>
    <row r="459" spans="1:8" x14ac:dyDescent="0.2">
      <c r="A459" s="1" t="s">
        <v>27</v>
      </c>
    </row>
    <row r="460" spans="1:8" x14ac:dyDescent="0.2">
      <c r="C460" s="12" t="s">
        <v>317</v>
      </c>
      <c r="D460" s="12" t="s">
        <v>368</v>
      </c>
      <c r="E460" s="12" t="s">
        <v>316</v>
      </c>
    </row>
    <row r="461" spans="1:8" x14ac:dyDescent="0.2">
      <c r="C461" s="12" t="s">
        <v>370</v>
      </c>
      <c r="D461" s="12" t="s">
        <v>369</v>
      </c>
      <c r="E461" s="12" t="s">
        <v>314</v>
      </c>
    </row>
    <row r="462" spans="1:8" x14ac:dyDescent="0.2">
      <c r="C462" s="12" t="s">
        <v>292</v>
      </c>
      <c r="D462" s="12" t="s">
        <v>291</v>
      </c>
      <c r="E462" s="12" t="s">
        <v>290</v>
      </c>
      <c r="F462" s="32" t="s">
        <v>177</v>
      </c>
    </row>
    <row r="463" spans="1:8" x14ac:dyDescent="0.2">
      <c r="C463" s="12" t="s">
        <v>179</v>
      </c>
      <c r="D463" s="12" t="s">
        <v>179</v>
      </c>
      <c r="E463" s="12" t="s">
        <v>179</v>
      </c>
      <c r="F463" s="1" t="s">
        <v>178</v>
      </c>
    </row>
    <row r="464" spans="1:8" x14ac:dyDescent="0.2">
      <c r="C464" s="12">
        <f>4*2</f>
        <v>8</v>
      </c>
      <c r="D464" s="12">
        <f>2*12</f>
        <v>24</v>
      </c>
      <c r="E464" s="12">
        <f>4*3</f>
        <v>12</v>
      </c>
      <c r="F464" s="1" t="s">
        <v>45</v>
      </c>
    </row>
    <row r="465" spans="3:7" x14ac:dyDescent="0.2">
      <c r="C465" s="12">
        <v>0.3</v>
      </c>
      <c r="D465" s="12">
        <v>0.8</v>
      </c>
      <c r="E465" s="12">
        <v>2</v>
      </c>
      <c r="F465" s="1" t="s">
        <v>42</v>
      </c>
    </row>
    <row r="466" spans="3:7" x14ac:dyDescent="0.2">
      <c r="C466" s="45">
        <f>-D468</f>
        <v>-43456.814438245754</v>
      </c>
      <c r="D466" s="42">
        <f>-E468</f>
        <v>-14134.814450776576</v>
      </c>
      <c r="E466" s="55">
        <v>-4800</v>
      </c>
      <c r="F466" s="1" t="s">
        <v>39</v>
      </c>
    </row>
    <row r="467" spans="3:7" ht="17" thickBot="1" x14ac:dyDescent="0.25">
      <c r="C467" s="12">
        <v>0</v>
      </c>
      <c r="D467" s="12">
        <v>-1000</v>
      </c>
      <c r="E467" s="12">
        <v>-600</v>
      </c>
      <c r="F467" s="1" t="s">
        <v>47</v>
      </c>
    </row>
    <row r="468" spans="3:7" ht="18" x14ac:dyDescent="0.2">
      <c r="C468" s="47">
        <f>FV(C465/100,C464,C467,C466)</f>
        <v>44510.795055697861</v>
      </c>
      <c r="D468" s="45">
        <f>FV(D465/100,D464,D467,D466)</f>
        <v>43456.814438245754</v>
      </c>
      <c r="E468" s="41">
        <f>FV(E465/100,E464,E467,E466)</f>
        <v>14134.814450776576</v>
      </c>
      <c r="F468" s="1" t="s">
        <v>50</v>
      </c>
      <c r="G468" s="1" t="s">
        <v>51</v>
      </c>
    </row>
    <row r="469" spans="3:7" ht="19" thickBot="1" x14ac:dyDescent="0.25">
      <c r="C469" s="48" t="s">
        <v>297</v>
      </c>
      <c r="D469" s="12"/>
      <c r="E469" s="1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745DB-19CE-CD47-9091-2544DB81308C}">
  <dimension ref="A1:H133"/>
  <sheetViews>
    <sheetView rightToLeft="1" topLeftCell="A58" zoomScale="310" zoomScaleNormal="290" workbookViewId="0">
      <selection activeCell="E131" sqref="E131"/>
    </sheetView>
  </sheetViews>
  <sheetFormatPr baseColWidth="10" defaultRowHeight="16" x14ac:dyDescent="0.2"/>
  <cols>
    <col min="1" max="2" width="10.83203125" style="1"/>
    <col min="3" max="3" width="12.5" style="1" bestFit="1" customWidth="1"/>
    <col min="4" max="5" width="10.83203125" style="1"/>
    <col min="6" max="6" width="13.5" style="1" bestFit="1" customWidth="1"/>
    <col min="7" max="16384" width="10.83203125" style="1"/>
  </cols>
  <sheetData>
    <row r="1" spans="1:8" x14ac:dyDescent="0.2">
      <c r="A1" s="207" t="s">
        <v>451</v>
      </c>
      <c r="B1" s="207"/>
      <c r="C1" s="207"/>
      <c r="D1" s="207"/>
      <c r="E1" s="207"/>
      <c r="F1" s="207"/>
      <c r="G1" s="207"/>
      <c r="H1" s="207"/>
    </row>
    <row r="2" spans="1:8" ht="17" thickBot="1" x14ac:dyDescent="0.25"/>
    <row r="3" spans="1:8" ht="17" thickBot="1" x14ac:dyDescent="0.25">
      <c r="A3" s="3" t="s">
        <v>373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374</v>
      </c>
    </row>
    <row r="5" spans="1:8" x14ac:dyDescent="0.2">
      <c r="A5" s="1" t="s">
        <v>375</v>
      </c>
    </row>
    <row r="6" spans="1:8" x14ac:dyDescent="0.2">
      <c r="A6" s="1" t="s">
        <v>376</v>
      </c>
    </row>
    <row r="8" spans="1:8" x14ac:dyDescent="0.2">
      <c r="A8" s="1" t="s">
        <v>27</v>
      </c>
    </row>
    <row r="10" spans="1:8" x14ac:dyDescent="0.2">
      <c r="A10" s="1" t="s">
        <v>377</v>
      </c>
    </row>
    <row r="11" spans="1:8" x14ac:dyDescent="0.2">
      <c r="A11" s="1" t="s">
        <v>378</v>
      </c>
    </row>
    <row r="13" spans="1:8" x14ac:dyDescent="0.2">
      <c r="A13" s="1" t="s">
        <v>379</v>
      </c>
    </row>
    <row r="14" spans="1:8" x14ac:dyDescent="0.2">
      <c r="A14" s="1" t="s">
        <v>380</v>
      </c>
    </row>
    <row r="15" spans="1:8" x14ac:dyDescent="0.2">
      <c r="A15" s="1" t="s">
        <v>381</v>
      </c>
    </row>
    <row r="17" spans="1:7" x14ac:dyDescent="0.2">
      <c r="D17" s="1" t="s">
        <v>387</v>
      </c>
    </row>
    <row r="18" spans="1:7" x14ac:dyDescent="0.2">
      <c r="D18" s="1" t="s">
        <v>388</v>
      </c>
    </row>
    <row r="20" spans="1:7" ht="17" thickBot="1" x14ac:dyDescent="0.25">
      <c r="C20" s="12" t="s">
        <v>383</v>
      </c>
      <c r="D20" s="57">
        <v>-90000</v>
      </c>
      <c r="G20" s="12" t="s">
        <v>384</v>
      </c>
    </row>
    <row r="21" spans="1:7" ht="17" thickBot="1" x14ac:dyDescent="0.25">
      <c r="C21" s="12">
        <f>10*12</f>
        <v>120</v>
      </c>
      <c r="D21" s="60">
        <f>8*12</f>
        <v>96</v>
      </c>
      <c r="F21" s="12">
        <v>1</v>
      </c>
      <c r="G21" s="12">
        <v>0</v>
      </c>
    </row>
    <row r="22" spans="1:7" x14ac:dyDescent="0.2">
      <c r="A22" s="1" t="s">
        <v>382</v>
      </c>
      <c r="G22" s="12"/>
    </row>
    <row r="23" spans="1:7" x14ac:dyDescent="0.2">
      <c r="G23" s="57">
        <v>-140000</v>
      </c>
    </row>
    <row r="24" spans="1:7" x14ac:dyDescent="0.2">
      <c r="D24" s="210" t="s">
        <v>390</v>
      </c>
      <c r="E24" s="211"/>
    </row>
    <row r="25" spans="1:7" x14ac:dyDescent="0.2">
      <c r="D25" s="212" t="s">
        <v>385</v>
      </c>
      <c r="E25" s="212"/>
    </row>
    <row r="26" spans="1:7" x14ac:dyDescent="0.2">
      <c r="D26" s="212" t="s">
        <v>386</v>
      </c>
      <c r="E26" s="212"/>
    </row>
    <row r="28" spans="1:7" x14ac:dyDescent="0.2">
      <c r="A28" s="1" t="s">
        <v>389</v>
      </c>
    </row>
    <row r="29" spans="1:7" x14ac:dyDescent="0.2">
      <c r="E29" s="12" t="s">
        <v>393</v>
      </c>
      <c r="F29" s="12" t="s">
        <v>391</v>
      </c>
    </row>
    <row r="30" spans="1:7" x14ac:dyDescent="0.2">
      <c r="E30" s="59" t="s">
        <v>394</v>
      </c>
      <c r="F30" s="59" t="s">
        <v>392</v>
      </c>
      <c r="G30" s="58" t="s">
        <v>177</v>
      </c>
    </row>
    <row r="31" spans="1:7" x14ac:dyDescent="0.2">
      <c r="E31" s="12" t="s">
        <v>179</v>
      </c>
      <c r="F31" s="12" t="s">
        <v>179</v>
      </c>
      <c r="G31" s="1" t="s">
        <v>178</v>
      </c>
    </row>
    <row r="32" spans="1:7" x14ac:dyDescent="0.2">
      <c r="E32" s="12">
        <v>24</v>
      </c>
      <c r="F32" s="12">
        <v>96</v>
      </c>
      <c r="G32" s="1" t="s">
        <v>45</v>
      </c>
    </row>
    <row r="33" spans="1:8" x14ac:dyDescent="0.2">
      <c r="B33" s="1" t="s">
        <v>395</v>
      </c>
      <c r="E33" s="12">
        <v>1</v>
      </c>
      <c r="F33" s="12">
        <v>1</v>
      </c>
      <c r="G33" s="1" t="s">
        <v>42</v>
      </c>
    </row>
    <row r="34" spans="1:8" x14ac:dyDescent="0.2">
      <c r="B34" s="1" t="s">
        <v>396</v>
      </c>
      <c r="E34" s="62">
        <f>-F36-90000</f>
        <v>-773752.7946901914</v>
      </c>
      <c r="F34" s="12">
        <v>-140000</v>
      </c>
      <c r="G34" s="1" t="s">
        <v>39</v>
      </c>
    </row>
    <row r="35" spans="1:8" x14ac:dyDescent="0.2">
      <c r="B35" s="1" t="s">
        <v>397</v>
      </c>
      <c r="E35" s="12">
        <v>-2000</v>
      </c>
      <c r="F35" s="12">
        <v>-2000</v>
      </c>
      <c r="G35" s="1" t="s">
        <v>47</v>
      </c>
    </row>
    <row r="36" spans="1:8" ht="18" x14ac:dyDescent="0.2">
      <c r="E36" s="63">
        <f>FV(E33/100,E32,E35,E34)</f>
        <v>1036407.6625229202</v>
      </c>
      <c r="F36" s="61">
        <f>FV(F33/100,F32,F35,F34)</f>
        <v>683752.7946901914</v>
      </c>
      <c r="G36" s="1" t="s">
        <v>50</v>
      </c>
      <c r="H36" s="1" t="s">
        <v>51</v>
      </c>
    </row>
    <row r="38" spans="1:8" x14ac:dyDescent="0.2">
      <c r="A38" s="1" t="s">
        <v>398</v>
      </c>
    </row>
    <row r="39" spans="1:8" ht="17" thickBot="1" x14ac:dyDescent="0.25"/>
    <row r="40" spans="1:8" ht="17" thickBot="1" x14ac:dyDescent="0.25">
      <c r="A40" s="3" t="s">
        <v>399</v>
      </c>
      <c r="B40" s="6"/>
      <c r="C40" s="6"/>
      <c r="D40" s="6"/>
      <c r="E40" s="6"/>
      <c r="F40" s="6"/>
      <c r="G40" s="6"/>
      <c r="H40" s="7"/>
    </row>
    <row r="42" spans="1:8" x14ac:dyDescent="0.2">
      <c r="A42" s="1" t="s">
        <v>400</v>
      </c>
    </row>
    <row r="43" spans="1:8" x14ac:dyDescent="0.2">
      <c r="A43" s="1" t="s">
        <v>401</v>
      </c>
    </row>
    <row r="44" spans="1:8" x14ac:dyDescent="0.2">
      <c r="A44" s="1" t="s">
        <v>402</v>
      </c>
    </row>
    <row r="45" spans="1:8" x14ac:dyDescent="0.2">
      <c r="A45" s="1" t="s">
        <v>403</v>
      </c>
    </row>
    <row r="46" spans="1:8" x14ac:dyDescent="0.2">
      <c r="A46" s="1" t="s">
        <v>404</v>
      </c>
    </row>
    <row r="48" spans="1:8" x14ac:dyDescent="0.2">
      <c r="A48" s="1" t="s">
        <v>27</v>
      </c>
    </row>
    <row r="50" spans="1:8" x14ac:dyDescent="0.2">
      <c r="B50" s="12"/>
      <c r="C50" s="12">
        <v>48</v>
      </c>
      <c r="D50" s="12">
        <v>36</v>
      </c>
      <c r="E50" s="12">
        <v>24</v>
      </c>
      <c r="F50" s="12">
        <v>12</v>
      </c>
      <c r="G50" s="12">
        <v>0</v>
      </c>
    </row>
    <row r="51" spans="1:8" x14ac:dyDescent="0.2">
      <c r="A51" s="1" t="s">
        <v>382</v>
      </c>
    </row>
    <row r="52" spans="1:8" x14ac:dyDescent="0.2">
      <c r="C52" s="12" t="s">
        <v>410</v>
      </c>
      <c r="D52" s="12">
        <v>-45000</v>
      </c>
      <c r="E52" s="12"/>
      <c r="F52" s="12">
        <v>-40000</v>
      </c>
      <c r="G52" s="12">
        <v>-50000</v>
      </c>
      <c r="H52" s="1" t="s">
        <v>409</v>
      </c>
    </row>
    <row r="57" spans="1:8" ht="51" x14ac:dyDescent="0.2">
      <c r="C57" s="64" t="s">
        <v>408</v>
      </c>
      <c r="D57" s="64" t="s">
        <v>407</v>
      </c>
      <c r="E57" s="64" t="s">
        <v>406</v>
      </c>
      <c r="F57" s="64" t="s">
        <v>405</v>
      </c>
      <c r="G57" s="65" t="s">
        <v>177</v>
      </c>
    </row>
    <row r="58" spans="1:8" x14ac:dyDescent="0.2">
      <c r="C58" s="12" t="s">
        <v>179</v>
      </c>
      <c r="D58" s="12" t="s">
        <v>179</v>
      </c>
      <c r="E58" s="12" t="s">
        <v>179</v>
      </c>
      <c r="F58" s="12" t="s">
        <v>179</v>
      </c>
      <c r="G58" s="1" t="s">
        <v>178</v>
      </c>
    </row>
    <row r="59" spans="1:8" x14ac:dyDescent="0.2">
      <c r="C59" s="12">
        <v>12</v>
      </c>
      <c r="D59" s="12">
        <v>12</v>
      </c>
      <c r="E59" s="12">
        <v>12</v>
      </c>
      <c r="F59" s="12">
        <v>12</v>
      </c>
      <c r="G59" s="1" t="s">
        <v>45</v>
      </c>
    </row>
    <row r="60" spans="1:8" x14ac:dyDescent="0.2">
      <c r="C60" s="12">
        <v>3</v>
      </c>
      <c r="D60" s="12">
        <v>3</v>
      </c>
      <c r="E60" s="12">
        <v>1</v>
      </c>
      <c r="F60" s="12">
        <v>1</v>
      </c>
      <c r="G60" s="1" t="s">
        <v>42</v>
      </c>
    </row>
    <row r="61" spans="1:8" x14ac:dyDescent="0.2">
      <c r="C61" s="71">
        <f>-D63-45000</f>
        <v>-296602.96101395937</v>
      </c>
      <c r="D61" s="69">
        <f>-E63</f>
        <v>-146607.24267146544</v>
      </c>
      <c r="E61" s="66">
        <f>-F63-40000</f>
        <v>-96341.251506598492</v>
      </c>
      <c r="F61" s="12">
        <v>-50000</v>
      </c>
      <c r="G61" s="1" t="s">
        <v>39</v>
      </c>
    </row>
    <row r="62" spans="1:8" x14ac:dyDescent="0.2">
      <c r="C62" s="12">
        <f>D62</f>
        <v>-3000</v>
      </c>
      <c r="D62" s="12">
        <f>E62</f>
        <v>-3000</v>
      </c>
      <c r="E62" s="12">
        <v>-3000</v>
      </c>
      <c r="F62" s="12">
        <v>0</v>
      </c>
      <c r="G62" s="1" t="s">
        <v>47</v>
      </c>
    </row>
    <row r="63" spans="1:8" ht="21" x14ac:dyDescent="0.25">
      <c r="C63" s="72">
        <f>FV(C60/100,C59,C62,C61)</f>
        <v>465460.98942108313</v>
      </c>
      <c r="D63" s="70">
        <f>FV(D60/100,D59,D62,D61)</f>
        <v>251602.96101395934</v>
      </c>
      <c r="E63" s="67">
        <f>FV(E60/100,E59,E62,E61)</f>
        <v>146607.24267146544</v>
      </c>
      <c r="F63" s="68">
        <f>FV(F60/100,F59,F62,F61)</f>
        <v>56341.251506598492</v>
      </c>
      <c r="G63" s="1" t="s">
        <v>50</v>
      </c>
      <c r="H63" s="40" t="s">
        <v>51</v>
      </c>
    </row>
    <row r="64" spans="1:8" x14ac:dyDescent="0.2">
      <c r="C64" s="56" t="s">
        <v>297</v>
      </c>
    </row>
    <row r="65" spans="1:8" x14ac:dyDescent="0.2">
      <c r="C65" s="56" t="s">
        <v>411</v>
      </c>
    </row>
    <row r="66" spans="1:8" ht="17" thickBot="1" x14ac:dyDescent="0.25"/>
    <row r="67" spans="1:8" ht="17" thickBot="1" x14ac:dyDescent="0.25">
      <c r="A67" s="3" t="s">
        <v>412</v>
      </c>
      <c r="B67" s="6"/>
      <c r="C67" s="6"/>
      <c r="D67" s="6"/>
      <c r="E67" s="6"/>
      <c r="F67" s="6"/>
      <c r="G67" s="6"/>
      <c r="H67" s="7"/>
    </row>
    <row r="69" spans="1:8" x14ac:dyDescent="0.2">
      <c r="A69" s="1" t="s">
        <v>413</v>
      </c>
    </row>
    <row r="70" spans="1:8" x14ac:dyDescent="0.2">
      <c r="A70" s="1" t="s">
        <v>414</v>
      </c>
    </row>
    <row r="71" spans="1:8" x14ac:dyDescent="0.2">
      <c r="A71" s="1" t="s">
        <v>419</v>
      </c>
    </row>
    <row r="72" spans="1:8" x14ac:dyDescent="0.2">
      <c r="A72" s="1" t="s">
        <v>420</v>
      </c>
    </row>
    <row r="73" spans="1:8" x14ac:dyDescent="0.2">
      <c r="A73" s="1" t="s">
        <v>421</v>
      </c>
    </row>
    <row r="74" spans="1:8" x14ac:dyDescent="0.2">
      <c r="A74" s="1" t="s">
        <v>415</v>
      </c>
    </row>
    <row r="75" spans="1:8" x14ac:dyDescent="0.2">
      <c r="A75" s="1" t="s">
        <v>425</v>
      </c>
    </row>
    <row r="76" spans="1:8" x14ac:dyDescent="0.2">
      <c r="A76" s="1" t="s">
        <v>416</v>
      </c>
    </row>
    <row r="77" spans="1:8" x14ac:dyDescent="0.2">
      <c r="A77" s="1" t="s">
        <v>417</v>
      </c>
    </row>
    <row r="78" spans="1:8" x14ac:dyDescent="0.2">
      <c r="A78" s="1" t="s">
        <v>418</v>
      </c>
    </row>
    <row r="80" spans="1:8" x14ac:dyDescent="0.2">
      <c r="C80" s="12" t="s">
        <v>437</v>
      </c>
      <c r="D80" s="12" t="s">
        <v>424</v>
      </c>
      <c r="E80" s="12" t="s">
        <v>423</v>
      </c>
      <c r="F80" s="12" t="s">
        <v>422</v>
      </c>
    </row>
    <row r="81" spans="1:7" x14ac:dyDescent="0.2">
      <c r="C81" s="12">
        <v>72</v>
      </c>
      <c r="D81" s="12">
        <f>5*12</f>
        <v>60</v>
      </c>
      <c r="E81" s="12">
        <v>24</v>
      </c>
      <c r="F81" s="56">
        <v>12</v>
      </c>
      <c r="G81" s="12">
        <v>0</v>
      </c>
    </row>
    <row r="82" spans="1:7" x14ac:dyDescent="0.2">
      <c r="A82" s="1" t="s">
        <v>382</v>
      </c>
      <c r="G82" s="12"/>
    </row>
    <row r="83" spans="1:7" x14ac:dyDescent="0.2">
      <c r="D83" s="55">
        <v>-4</v>
      </c>
      <c r="G83" s="55">
        <v>-2</v>
      </c>
    </row>
    <row r="88" spans="1:7" x14ac:dyDescent="0.2">
      <c r="D88" s="1" t="s">
        <v>433</v>
      </c>
      <c r="E88" s="1" t="s">
        <v>428</v>
      </c>
      <c r="F88" s="1" t="s">
        <v>426</v>
      </c>
    </row>
    <row r="89" spans="1:7" x14ac:dyDescent="0.2">
      <c r="D89" s="1" t="s">
        <v>434</v>
      </c>
      <c r="E89" s="1" t="s">
        <v>429</v>
      </c>
      <c r="F89" s="1" t="s">
        <v>427</v>
      </c>
    </row>
    <row r="90" spans="1:7" x14ac:dyDescent="0.2">
      <c r="D90" s="1" t="s">
        <v>435</v>
      </c>
      <c r="E90" s="1" t="s">
        <v>430</v>
      </c>
    </row>
    <row r="91" spans="1:7" x14ac:dyDescent="0.2">
      <c r="D91" s="1" t="s">
        <v>436</v>
      </c>
      <c r="E91" s="1" t="s">
        <v>431</v>
      </c>
    </row>
    <row r="92" spans="1:7" x14ac:dyDescent="0.2">
      <c r="E92" s="1" t="s">
        <v>432</v>
      </c>
    </row>
    <row r="94" spans="1:7" ht="17" x14ac:dyDescent="0.2">
      <c r="C94" s="64" t="s">
        <v>441</v>
      </c>
      <c r="D94" s="64" t="s">
        <v>440</v>
      </c>
      <c r="E94" s="64" t="s">
        <v>439</v>
      </c>
      <c r="F94" s="64" t="s">
        <v>438</v>
      </c>
      <c r="G94" s="65" t="s">
        <v>177</v>
      </c>
    </row>
    <row r="95" spans="1:7" x14ac:dyDescent="0.2">
      <c r="C95" s="12" t="s">
        <v>179</v>
      </c>
      <c r="D95" s="12" t="s">
        <v>179</v>
      </c>
      <c r="E95" s="12" t="s">
        <v>179</v>
      </c>
      <c r="F95" s="12" t="s">
        <v>179</v>
      </c>
      <c r="G95" s="1" t="s">
        <v>178</v>
      </c>
    </row>
    <row r="96" spans="1:7" x14ac:dyDescent="0.2">
      <c r="C96" s="12">
        <v>12</v>
      </c>
      <c r="D96" s="12">
        <v>36</v>
      </c>
      <c r="E96" s="73">
        <v>12</v>
      </c>
      <c r="F96" s="12">
        <v>12</v>
      </c>
      <c r="G96" s="1" t="s">
        <v>45</v>
      </c>
    </row>
    <row r="97" spans="1:8" x14ac:dyDescent="0.2">
      <c r="C97" s="12">
        <v>0.8</v>
      </c>
      <c r="D97" s="12">
        <v>0.8</v>
      </c>
      <c r="E97" s="12">
        <v>0.5</v>
      </c>
      <c r="F97" s="12">
        <v>1</v>
      </c>
      <c r="G97" s="1" t="s">
        <v>42</v>
      </c>
    </row>
    <row r="98" spans="1:8" x14ac:dyDescent="0.2">
      <c r="C98" s="71">
        <f>-D100-4</f>
        <v>-24.373521084267448</v>
      </c>
      <c r="D98" s="69">
        <f>-E100</f>
        <v>-15.292797475147005</v>
      </c>
      <c r="E98" s="66">
        <f>-F100</f>
        <v>-8.5949015668624273</v>
      </c>
      <c r="F98" s="12">
        <v>-2</v>
      </c>
      <c r="G98" s="1" t="s">
        <v>39</v>
      </c>
    </row>
    <row r="99" spans="1:8" x14ac:dyDescent="0.2">
      <c r="C99" s="12">
        <v>0</v>
      </c>
      <c r="D99" s="12">
        <v>0</v>
      </c>
      <c r="E99" s="12">
        <f>F99</f>
        <v>-0.5</v>
      </c>
      <c r="F99" s="12">
        <v>-0.5</v>
      </c>
      <c r="G99" s="1" t="s">
        <v>47</v>
      </c>
    </row>
    <row r="100" spans="1:8" ht="21" x14ac:dyDescent="0.25">
      <c r="C100" s="72">
        <f>FV(C97/100,C96,C99,C98)</f>
        <v>26.819128351125812</v>
      </c>
      <c r="D100" s="70">
        <f>FV(D97/100,D96,D99,D98)</f>
        <v>20.373521084267448</v>
      </c>
      <c r="E100" s="67">
        <f>FV(E97/100,E96,E99,E98)</f>
        <v>15.292797475147005</v>
      </c>
      <c r="F100" s="68">
        <f>FV(F97/100,F96,F99,F98)</f>
        <v>8.5949015668624273</v>
      </c>
      <c r="G100" s="1" t="s">
        <v>50</v>
      </c>
      <c r="H100" s="40" t="s">
        <v>51</v>
      </c>
    </row>
    <row r="101" spans="1:8" x14ac:dyDescent="0.2">
      <c r="C101" s="56" t="s">
        <v>297</v>
      </c>
    </row>
    <row r="102" spans="1:8" x14ac:dyDescent="0.2">
      <c r="C102" s="56" t="s">
        <v>411</v>
      </c>
    </row>
    <row r="104" spans="1:8" x14ac:dyDescent="0.2">
      <c r="A104" s="1" t="s">
        <v>442</v>
      </c>
    </row>
    <row r="105" spans="1:8" ht="17" thickBot="1" x14ac:dyDescent="0.25"/>
    <row r="106" spans="1:8" ht="17" thickBot="1" x14ac:dyDescent="0.25">
      <c r="A106" s="3" t="s">
        <v>443</v>
      </c>
      <c r="B106" s="6"/>
      <c r="C106" s="6"/>
      <c r="D106" s="6"/>
      <c r="E106" s="6"/>
      <c r="F106" s="6"/>
      <c r="G106" s="6"/>
      <c r="H106" s="7"/>
    </row>
    <row r="108" spans="1:8" x14ac:dyDescent="0.2">
      <c r="A108" s="1" t="s">
        <v>444</v>
      </c>
    </row>
    <row r="109" spans="1:8" x14ac:dyDescent="0.2">
      <c r="A109" s="1" t="s">
        <v>445</v>
      </c>
    </row>
    <row r="110" spans="1:8" x14ac:dyDescent="0.2">
      <c r="A110" s="1" t="s">
        <v>446</v>
      </c>
    </row>
    <row r="112" spans="1:8" x14ac:dyDescent="0.2">
      <c r="E112" s="12">
        <v>24</v>
      </c>
      <c r="F112" s="12">
        <v>12</v>
      </c>
      <c r="G112" s="12">
        <v>0</v>
      </c>
    </row>
    <row r="114" spans="3:7" x14ac:dyDescent="0.2">
      <c r="F114" s="12">
        <v>-200</v>
      </c>
      <c r="G114" s="12">
        <v>-100</v>
      </c>
    </row>
    <row r="120" spans="3:7" x14ac:dyDescent="0.2">
      <c r="F120" s="12" t="s">
        <v>447</v>
      </c>
    </row>
    <row r="121" spans="3:7" x14ac:dyDescent="0.2">
      <c r="F121" s="12" t="s">
        <v>448</v>
      </c>
    </row>
    <row r="122" spans="3:7" x14ac:dyDescent="0.2">
      <c r="F122" s="12" t="s">
        <v>449</v>
      </c>
    </row>
    <row r="123" spans="3:7" x14ac:dyDescent="0.2">
      <c r="F123" s="12" t="s">
        <v>450</v>
      </c>
    </row>
    <row r="125" spans="3:7" ht="17" x14ac:dyDescent="0.2">
      <c r="C125" s="77"/>
      <c r="D125" s="77"/>
      <c r="E125" s="64" t="s">
        <v>439</v>
      </c>
      <c r="F125" s="64" t="s">
        <v>438</v>
      </c>
      <c r="G125" s="65" t="s">
        <v>177</v>
      </c>
    </row>
    <row r="126" spans="3:7" x14ac:dyDescent="0.2">
      <c r="C126" s="12"/>
      <c r="D126" s="12"/>
      <c r="E126" s="12" t="s">
        <v>179</v>
      </c>
      <c r="F126" s="12" t="s">
        <v>179</v>
      </c>
      <c r="G126" s="1" t="s">
        <v>178</v>
      </c>
    </row>
    <row r="127" spans="3:7" x14ac:dyDescent="0.2">
      <c r="C127" s="12"/>
      <c r="D127" s="12"/>
      <c r="E127" s="73">
        <v>12</v>
      </c>
      <c r="F127" s="12">
        <v>12</v>
      </c>
      <c r="G127" s="1" t="s">
        <v>45</v>
      </c>
    </row>
    <row r="128" spans="3:7" x14ac:dyDescent="0.2">
      <c r="C128" s="12"/>
      <c r="D128" s="12"/>
      <c r="E128" s="12">
        <v>2</v>
      </c>
      <c r="F128" s="12">
        <v>2</v>
      </c>
      <c r="G128" s="1" t="s">
        <v>42</v>
      </c>
    </row>
    <row r="129" spans="3:8" x14ac:dyDescent="0.2">
      <c r="C129" s="74"/>
      <c r="D129" s="74"/>
      <c r="E129" s="66">
        <f>-F131-200</f>
        <v>-393.88462809689082</v>
      </c>
      <c r="F129" s="12">
        <v>-100</v>
      </c>
      <c r="G129" s="1" t="s">
        <v>39</v>
      </c>
    </row>
    <row r="130" spans="3:8" x14ac:dyDescent="0.2">
      <c r="C130" s="12"/>
      <c r="D130" s="12"/>
      <c r="E130" s="12">
        <v>-5</v>
      </c>
      <c r="F130" s="12">
        <v>-5</v>
      </c>
      <c r="G130" s="1" t="s">
        <v>47</v>
      </c>
    </row>
    <row r="131" spans="3:8" ht="21" x14ac:dyDescent="0.25">
      <c r="C131" s="75"/>
      <c r="D131" s="76"/>
      <c r="E131" s="67">
        <f>FV(E128/100,E127,E130,E129)</f>
        <v>566.60139622883787</v>
      </c>
      <c r="F131" s="68">
        <f>FV(F128/100,F127,F130,F129)</f>
        <v>193.88462809689082</v>
      </c>
      <c r="G131" s="1" t="s">
        <v>50</v>
      </c>
      <c r="H131" s="40" t="s">
        <v>51</v>
      </c>
    </row>
    <row r="132" spans="3:8" x14ac:dyDescent="0.2">
      <c r="C132" s="56"/>
      <c r="E132" s="12" t="s">
        <v>297</v>
      </c>
    </row>
    <row r="133" spans="3:8" x14ac:dyDescent="0.2">
      <c r="C133" s="56"/>
      <c r="E133" s="12" t="s">
        <v>411</v>
      </c>
    </row>
  </sheetData>
  <mergeCells count="4">
    <mergeCell ref="A1:H1"/>
    <mergeCell ref="D24:E24"/>
    <mergeCell ref="D25:E25"/>
    <mergeCell ref="D26:E2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0AE4C-27FF-9646-AFE8-0EBBA0B69187}">
  <dimension ref="A1:I190"/>
  <sheetViews>
    <sheetView rightToLeft="1" topLeftCell="A179" zoomScale="350" zoomScaleNormal="350" workbookViewId="0">
      <selection activeCell="A192" sqref="A192"/>
    </sheetView>
  </sheetViews>
  <sheetFormatPr baseColWidth="10" defaultRowHeight="16" x14ac:dyDescent="0.2"/>
  <cols>
    <col min="1" max="4" width="10.83203125" style="1"/>
    <col min="5" max="5" width="11.6640625" style="1" bestFit="1" customWidth="1"/>
    <col min="6" max="16384" width="10.83203125" style="1"/>
  </cols>
  <sheetData>
    <row r="1" spans="1:8" x14ac:dyDescent="0.2">
      <c r="A1" s="78" t="s">
        <v>452</v>
      </c>
      <c r="B1" s="78"/>
      <c r="C1" s="78"/>
      <c r="D1" s="78"/>
      <c r="E1" s="78"/>
      <c r="F1" s="78"/>
      <c r="G1" s="78"/>
      <c r="H1" s="79">
        <v>45620</v>
      </c>
    </row>
    <row r="2" spans="1:8" ht="17" thickBot="1" x14ac:dyDescent="0.25"/>
    <row r="3" spans="1:8" ht="17" thickBot="1" x14ac:dyDescent="0.25">
      <c r="A3" s="3" t="s">
        <v>453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454</v>
      </c>
    </row>
    <row r="5" spans="1:8" x14ac:dyDescent="0.2">
      <c r="A5" s="1" t="s">
        <v>455</v>
      </c>
    </row>
    <row r="6" spans="1:8" x14ac:dyDescent="0.2">
      <c r="A6" s="1" t="s">
        <v>456</v>
      </c>
    </row>
    <row r="7" spans="1:8" x14ac:dyDescent="0.2">
      <c r="A7" s="1" t="s">
        <v>457</v>
      </c>
    </row>
    <row r="8" spans="1:8" x14ac:dyDescent="0.2">
      <c r="A8" s="1" t="s">
        <v>458</v>
      </c>
    </row>
    <row r="10" spans="1:8" x14ac:dyDescent="0.2">
      <c r="A10" s="1" t="s">
        <v>459</v>
      </c>
    </row>
    <row r="11" spans="1:8" x14ac:dyDescent="0.2">
      <c r="B11" s="1" t="s">
        <v>460</v>
      </c>
    </row>
    <row r="12" spans="1:8" x14ac:dyDescent="0.2">
      <c r="C12" s="1" t="s">
        <v>461</v>
      </c>
    </row>
    <row r="13" spans="1:8" x14ac:dyDescent="0.2">
      <c r="C13" s="1" t="s">
        <v>462</v>
      </c>
    </row>
    <row r="14" spans="1:8" x14ac:dyDescent="0.2">
      <c r="C14" s="1" t="s">
        <v>463</v>
      </c>
    </row>
    <row r="15" spans="1:8" x14ac:dyDescent="0.2">
      <c r="C15" s="1" t="s">
        <v>464</v>
      </c>
    </row>
    <row r="16" spans="1:8" x14ac:dyDescent="0.2">
      <c r="B16" s="1" t="s">
        <v>465</v>
      </c>
    </row>
    <row r="17" spans="1:8" x14ac:dyDescent="0.2">
      <c r="B17" s="1" t="s">
        <v>466</v>
      </c>
    </row>
    <row r="19" spans="1:8" x14ac:dyDescent="0.2">
      <c r="A19" s="80" t="s">
        <v>467</v>
      </c>
      <c r="B19" s="80"/>
      <c r="C19" s="80"/>
      <c r="D19" s="80"/>
      <c r="E19" s="80"/>
      <c r="F19" s="80"/>
      <c r="G19" s="80"/>
      <c r="H19" s="80"/>
    </row>
    <row r="20" spans="1:8" x14ac:dyDescent="0.2">
      <c r="A20" s="1" t="s">
        <v>468</v>
      </c>
    </row>
    <row r="21" spans="1:8" x14ac:dyDescent="0.2">
      <c r="A21" s="1" t="s">
        <v>473</v>
      </c>
    </row>
    <row r="23" spans="1:8" x14ac:dyDescent="0.2">
      <c r="A23" s="1" t="s">
        <v>27</v>
      </c>
    </row>
    <row r="25" spans="1:8" x14ac:dyDescent="0.2">
      <c r="A25" s="1" t="s">
        <v>469</v>
      </c>
    </row>
    <row r="26" spans="1:8" x14ac:dyDescent="0.2">
      <c r="A26" s="1" t="s">
        <v>470</v>
      </c>
    </row>
    <row r="28" spans="1:8" x14ac:dyDescent="0.2">
      <c r="A28" s="81" t="s">
        <v>471</v>
      </c>
    </row>
    <row r="29" spans="1:8" x14ac:dyDescent="0.2">
      <c r="F29" s="82" t="s">
        <v>177</v>
      </c>
    </row>
    <row r="30" spans="1:8" x14ac:dyDescent="0.2">
      <c r="A30" s="1" t="s">
        <v>472</v>
      </c>
      <c r="E30" s="12">
        <v>6</v>
      </c>
      <c r="F30" s="1" t="s">
        <v>42</v>
      </c>
    </row>
    <row r="31" spans="1:8" x14ac:dyDescent="0.2">
      <c r="A31" s="1" t="s">
        <v>474</v>
      </c>
      <c r="E31" s="12">
        <v>7</v>
      </c>
      <c r="F31" s="1" t="s">
        <v>45</v>
      </c>
    </row>
    <row r="32" spans="1:8" x14ac:dyDescent="0.2">
      <c r="A32" s="1" t="s">
        <v>477</v>
      </c>
      <c r="E32" s="83">
        <f>PV(E30/100,E31,E33,E34)</f>
        <v>-199517.1340867008</v>
      </c>
      <c r="F32" s="1" t="s">
        <v>39</v>
      </c>
      <c r="G32" s="40" t="s">
        <v>51</v>
      </c>
    </row>
    <row r="33" spans="1:8" x14ac:dyDescent="0.2">
      <c r="A33" s="1" t="s">
        <v>475</v>
      </c>
      <c r="E33" s="12">
        <v>0</v>
      </c>
      <c r="F33" s="1" t="s">
        <v>47</v>
      </c>
    </row>
    <row r="34" spans="1:8" x14ac:dyDescent="0.2">
      <c r="A34" s="1" t="s">
        <v>476</v>
      </c>
      <c r="E34" s="18">
        <v>300000</v>
      </c>
      <c r="F34" s="1" t="s">
        <v>50</v>
      </c>
    </row>
    <row r="36" spans="1:8" x14ac:dyDescent="0.2">
      <c r="A36" s="1" t="s">
        <v>478</v>
      </c>
    </row>
    <row r="37" spans="1:8" x14ac:dyDescent="0.2">
      <c r="A37" s="1" t="s">
        <v>479</v>
      </c>
    </row>
    <row r="39" spans="1:8" x14ac:dyDescent="0.2">
      <c r="A39" s="80" t="s">
        <v>480</v>
      </c>
      <c r="B39" s="80"/>
      <c r="C39" s="80"/>
      <c r="D39" s="80"/>
      <c r="E39" s="80"/>
      <c r="F39" s="80"/>
      <c r="G39" s="80"/>
      <c r="H39" s="80"/>
    </row>
    <row r="40" spans="1:8" x14ac:dyDescent="0.2">
      <c r="A40" s="1" t="s">
        <v>481</v>
      </c>
    </row>
    <row r="41" spans="1:8" x14ac:dyDescent="0.2">
      <c r="A41" s="1" t="s">
        <v>482</v>
      </c>
    </row>
    <row r="43" spans="1:8" x14ac:dyDescent="0.2">
      <c r="A43" s="81" t="s">
        <v>471</v>
      </c>
    </row>
    <row r="44" spans="1:8" x14ac:dyDescent="0.2">
      <c r="F44" s="82" t="s">
        <v>177</v>
      </c>
    </row>
    <row r="45" spans="1:8" x14ac:dyDescent="0.2">
      <c r="A45" s="1" t="s">
        <v>483</v>
      </c>
      <c r="E45" s="73">
        <v>0.4</v>
      </c>
      <c r="F45" s="1" t="s">
        <v>42</v>
      </c>
    </row>
    <row r="46" spans="1:8" x14ac:dyDescent="0.2">
      <c r="A46" s="1" t="s">
        <v>484</v>
      </c>
      <c r="E46" s="73">
        <v>36</v>
      </c>
      <c r="F46" s="1" t="s">
        <v>45</v>
      </c>
    </row>
    <row r="47" spans="1:8" x14ac:dyDescent="0.2">
      <c r="A47" s="1" t="s">
        <v>477</v>
      </c>
      <c r="E47" s="83">
        <f>PV(E45/100,E46,E48,E49)</f>
        <v>-17322.729928806406</v>
      </c>
      <c r="F47" s="1" t="s">
        <v>39</v>
      </c>
      <c r="G47" s="40" t="s">
        <v>51</v>
      </c>
    </row>
    <row r="48" spans="1:8" x14ac:dyDescent="0.2">
      <c r="E48" s="73">
        <v>0</v>
      </c>
      <c r="F48" s="1" t="s">
        <v>47</v>
      </c>
    </row>
    <row r="49" spans="1:8" x14ac:dyDescent="0.2">
      <c r="A49" s="1" t="s">
        <v>476</v>
      </c>
      <c r="E49" s="84">
        <v>20000</v>
      </c>
      <c r="F49" s="1" t="s">
        <v>50</v>
      </c>
    </row>
    <row r="51" spans="1:8" x14ac:dyDescent="0.2">
      <c r="A51" s="1" t="s">
        <v>485</v>
      </c>
    </row>
    <row r="53" spans="1:8" x14ac:dyDescent="0.2">
      <c r="A53" s="80" t="s">
        <v>486</v>
      </c>
      <c r="B53" s="80"/>
      <c r="C53" s="80"/>
      <c r="D53" s="80"/>
      <c r="E53" s="80"/>
      <c r="F53" s="80"/>
      <c r="G53" s="80"/>
      <c r="H53" s="80"/>
    </row>
    <row r="54" spans="1:8" x14ac:dyDescent="0.2">
      <c r="A54" s="1" t="s">
        <v>487</v>
      </c>
    </row>
    <row r="55" spans="1:8" x14ac:dyDescent="0.2">
      <c r="A55" s="1" t="s">
        <v>488</v>
      </c>
    </row>
    <row r="56" spans="1:8" x14ac:dyDescent="0.2">
      <c r="A56" s="1" t="s">
        <v>489</v>
      </c>
    </row>
    <row r="58" spans="1:8" x14ac:dyDescent="0.2">
      <c r="A58" s="81" t="s">
        <v>490</v>
      </c>
    </row>
    <row r="59" spans="1:8" x14ac:dyDescent="0.2">
      <c r="F59" s="82" t="s">
        <v>177</v>
      </c>
    </row>
    <row r="60" spans="1:8" x14ac:dyDescent="0.2">
      <c r="A60" s="1" t="s">
        <v>491</v>
      </c>
      <c r="E60" s="73">
        <v>0.9</v>
      </c>
      <c r="F60" s="1" t="s">
        <v>42</v>
      </c>
    </row>
    <row r="61" spans="1:8" x14ac:dyDescent="0.2">
      <c r="A61" s="1" t="s">
        <v>492</v>
      </c>
      <c r="E61" s="73">
        <f>12*20</f>
        <v>240</v>
      </c>
      <c r="F61" s="1" t="s">
        <v>45</v>
      </c>
    </row>
    <row r="62" spans="1:8" x14ac:dyDescent="0.2">
      <c r="A62" s="1" t="s">
        <v>496</v>
      </c>
      <c r="E62" s="83">
        <f>PV(E60/100,E61,E63,E64)</f>
        <v>-687209.59919813834</v>
      </c>
      <c r="F62" s="1" t="s">
        <v>39</v>
      </c>
      <c r="G62" s="40" t="s">
        <v>51</v>
      </c>
    </row>
    <row r="63" spans="1:8" x14ac:dyDescent="0.2">
      <c r="A63" s="1" t="s">
        <v>493</v>
      </c>
      <c r="E63" s="73">
        <v>7000</v>
      </c>
      <c r="F63" s="1" t="s">
        <v>47</v>
      </c>
    </row>
    <row r="64" spans="1:8" x14ac:dyDescent="0.2">
      <c r="A64" s="1" t="s">
        <v>494</v>
      </c>
      <c r="E64" s="84">
        <v>0</v>
      </c>
      <c r="F64" s="1" t="s">
        <v>50</v>
      </c>
    </row>
    <row r="66" spans="1:8" x14ac:dyDescent="0.2">
      <c r="A66" s="1" t="s">
        <v>495</v>
      </c>
    </row>
    <row r="68" spans="1:8" x14ac:dyDescent="0.2">
      <c r="A68" s="80" t="s">
        <v>497</v>
      </c>
      <c r="B68" s="80"/>
      <c r="C68" s="80"/>
      <c r="D68" s="80"/>
      <c r="E68" s="80"/>
      <c r="F68" s="80"/>
      <c r="G68" s="80"/>
      <c r="H68" s="80"/>
    </row>
    <row r="69" spans="1:8" x14ac:dyDescent="0.2">
      <c r="A69" s="1" t="s">
        <v>498</v>
      </c>
    </row>
    <row r="70" spans="1:8" x14ac:dyDescent="0.2">
      <c r="A70" s="1" t="s">
        <v>499</v>
      </c>
    </row>
    <row r="71" spans="1:8" x14ac:dyDescent="0.2">
      <c r="A71" s="1" t="s">
        <v>500</v>
      </c>
    </row>
    <row r="72" spans="1:8" x14ac:dyDescent="0.2">
      <c r="A72" s="1" t="s">
        <v>501</v>
      </c>
    </row>
    <row r="74" spans="1:8" x14ac:dyDescent="0.2">
      <c r="A74" s="81" t="s">
        <v>490</v>
      </c>
    </row>
    <row r="75" spans="1:8" x14ac:dyDescent="0.2">
      <c r="F75" s="82" t="s">
        <v>177</v>
      </c>
    </row>
    <row r="76" spans="1:8" x14ac:dyDescent="0.2">
      <c r="A76" s="1" t="s">
        <v>491</v>
      </c>
      <c r="E76" s="73">
        <v>0.4</v>
      </c>
      <c r="F76" s="1" t="s">
        <v>42</v>
      </c>
    </row>
    <row r="77" spans="1:8" x14ac:dyDescent="0.2">
      <c r="A77" s="1" t="s">
        <v>492</v>
      </c>
      <c r="E77" s="73">
        <f>5*12</f>
        <v>60</v>
      </c>
      <c r="F77" s="1" t="s">
        <v>45</v>
      </c>
    </row>
    <row r="78" spans="1:8" x14ac:dyDescent="0.2">
      <c r="A78" s="1" t="s">
        <v>502</v>
      </c>
      <c r="E78" s="83">
        <f>PV(E76/100,E77,E79,E80)</f>
        <v>-798733.01730031508</v>
      </c>
      <c r="F78" s="1" t="s">
        <v>39</v>
      </c>
      <c r="G78" s="40" t="s">
        <v>51</v>
      </c>
    </row>
    <row r="79" spans="1:8" x14ac:dyDescent="0.2">
      <c r="A79" s="1" t="s">
        <v>493</v>
      </c>
      <c r="E79" s="73">
        <v>15000</v>
      </c>
      <c r="F79" s="1" t="s">
        <v>47</v>
      </c>
    </row>
    <row r="80" spans="1:8" x14ac:dyDescent="0.2">
      <c r="A80" s="1" t="s">
        <v>494</v>
      </c>
      <c r="E80" s="84">
        <v>0</v>
      </c>
      <c r="F80" s="1" t="s">
        <v>50</v>
      </c>
    </row>
    <row r="82" spans="1:8" x14ac:dyDescent="0.2">
      <c r="A82" s="1" t="s">
        <v>503</v>
      </c>
    </row>
    <row r="84" spans="1:8" ht="17" thickBot="1" x14ac:dyDescent="0.25">
      <c r="A84" s="80" t="s">
        <v>504</v>
      </c>
      <c r="B84" s="85"/>
      <c r="C84" s="85"/>
      <c r="D84" s="85"/>
      <c r="E84" s="85"/>
      <c r="F84" s="85"/>
      <c r="G84" s="85"/>
      <c r="H84" s="85"/>
    </row>
    <row r="85" spans="1:8" x14ac:dyDescent="0.2">
      <c r="A85" s="1" t="s">
        <v>505</v>
      </c>
      <c r="H85" s="213" t="s">
        <v>509</v>
      </c>
    </row>
    <row r="86" spans="1:8" x14ac:dyDescent="0.2">
      <c r="A86" s="1" t="s">
        <v>506</v>
      </c>
      <c r="H86" s="214"/>
    </row>
    <row r="87" spans="1:8" x14ac:dyDescent="0.2">
      <c r="A87" s="1" t="s">
        <v>507</v>
      </c>
      <c r="H87" s="214"/>
    </row>
    <row r="88" spans="1:8" ht="17" thickBot="1" x14ac:dyDescent="0.25">
      <c r="A88" s="1" t="s">
        <v>508</v>
      </c>
      <c r="H88" s="215"/>
    </row>
    <row r="90" spans="1:8" x14ac:dyDescent="0.2">
      <c r="A90" s="81" t="s">
        <v>490</v>
      </c>
    </row>
    <row r="91" spans="1:8" x14ac:dyDescent="0.2">
      <c r="F91" s="82" t="s">
        <v>177</v>
      </c>
    </row>
    <row r="92" spans="1:8" x14ac:dyDescent="0.2">
      <c r="A92" s="1" t="s">
        <v>491</v>
      </c>
      <c r="E92" s="86">
        <f>((1+6%)^(1/12)-1)*100</f>
        <v>0.48675505653430484</v>
      </c>
      <c r="F92" s="1" t="s">
        <v>42</v>
      </c>
    </row>
    <row r="93" spans="1:8" x14ac:dyDescent="0.2">
      <c r="A93" s="1" t="s">
        <v>492</v>
      </c>
      <c r="E93" s="73">
        <f>5*12</f>
        <v>60</v>
      </c>
      <c r="F93" s="1" t="s">
        <v>45</v>
      </c>
    </row>
    <row r="94" spans="1:8" x14ac:dyDescent="0.2">
      <c r="A94" s="1" t="s">
        <v>502</v>
      </c>
      <c r="E94" s="83">
        <f>PV(E92/100,E93,E95,E96)</f>
        <v>-185661.79168388373</v>
      </c>
      <c r="F94" s="1" t="s">
        <v>39</v>
      </c>
      <c r="G94" s="40" t="s">
        <v>51</v>
      </c>
    </row>
    <row r="95" spans="1:8" x14ac:dyDescent="0.2">
      <c r="A95" s="1" t="s">
        <v>493</v>
      </c>
      <c r="E95" s="73">
        <v>3000</v>
      </c>
      <c r="F95" s="1" t="s">
        <v>47</v>
      </c>
    </row>
    <row r="96" spans="1:8" x14ac:dyDescent="0.2">
      <c r="A96" s="1" t="s">
        <v>494</v>
      </c>
      <c r="E96" s="84">
        <v>40000</v>
      </c>
      <c r="F96" s="1" t="s">
        <v>50</v>
      </c>
    </row>
    <row r="98" spans="1:8" x14ac:dyDescent="0.2">
      <c r="A98" s="1" t="s">
        <v>510</v>
      </c>
    </row>
    <row r="99" spans="1:8" x14ac:dyDescent="0.2">
      <c r="A99" s="1" t="s">
        <v>511</v>
      </c>
    </row>
    <row r="100" spans="1:8" x14ac:dyDescent="0.2">
      <c r="A100" s="1" t="s">
        <v>512</v>
      </c>
    </row>
    <row r="101" spans="1:8" x14ac:dyDescent="0.2">
      <c r="A101" s="1" t="s">
        <v>513</v>
      </c>
    </row>
    <row r="103" spans="1:8" x14ac:dyDescent="0.2">
      <c r="A103" s="1" t="s">
        <v>514</v>
      </c>
    </row>
    <row r="105" spans="1:8" x14ac:dyDescent="0.2">
      <c r="A105" s="1" t="s">
        <v>515</v>
      </c>
      <c r="E105" s="1">
        <f>(1+6%)^(1/12)-1</f>
        <v>4.8675505653430484E-3</v>
      </c>
      <c r="G105" s="1" t="s">
        <v>518</v>
      </c>
    </row>
    <row r="106" spans="1:8" x14ac:dyDescent="0.2">
      <c r="E106" s="1">
        <f>(1+6%)^(1/12)-1</f>
        <v>4.8675505653430484E-3</v>
      </c>
      <c r="G106" s="1" t="s">
        <v>519</v>
      </c>
    </row>
    <row r="108" spans="1:8" x14ac:dyDescent="0.2">
      <c r="A108" s="1" t="s">
        <v>516</v>
      </c>
    </row>
    <row r="109" spans="1:8" x14ac:dyDescent="0.2">
      <c r="E109" s="87">
        <f>E105*100</f>
        <v>0.48675505653430484</v>
      </c>
      <c r="G109" s="1" t="s">
        <v>517</v>
      </c>
    </row>
    <row r="111" spans="1:8" ht="17" thickBot="1" x14ac:dyDescent="0.25">
      <c r="A111" s="80" t="s">
        <v>520</v>
      </c>
      <c r="B111" s="85"/>
      <c r="C111" s="85"/>
      <c r="D111" s="85"/>
      <c r="E111" s="85"/>
      <c r="F111" s="85"/>
      <c r="G111" s="85"/>
      <c r="H111" s="85"/>
    </row>
    <row r="112" spans="1:8" x14ac:dyDescent="0.2">
      <c r="A112" s="1" t="s">
        <v>521</v>
      </c>
      <c r="H112" s="213" t="s">
        <v>509</v>
      </c>
    </row>
    <row r="113" spans="1:8" x14ac:dyDescent="0.2">
      <c r="A113" s="1" t="s">
        <v>522</v>
      </c>
      <c r="H113" s="214"/>
    </row>
    <row r="114" spans="1:8" x14ac:dyDescent="0.2">
      <c r="A114" s="1" t="s">
        <v>523</v>
      </c>
      <c r="H114" s="214"/>
    </row>
    <row r="115" spans="1:8" ht="17" thickBot="1" x14ac:dyDescent="0.25">
      <c r="A115" s="1" t="s">
        <v>524</v>
      </c>
      <c r="H115" s="215"/>
    </row>
    <row r="117" spans="1:8" x14ac:dyDescent="0.2">
      <c r="A117" s="81" t="s">
        <v>490</v>
      </c>
    </row>
    <row r="118" spans="1:8" x14ac:dyDescent="0.2">
      <c r="F118" s="82" t="s">
        <v>177</v>
      </c>
    </row>
    <row r="119" spans="1:8" x14ac:dyDescent="0.2">
      <c r="A119" s="1" t="s">
        <v>528</v>
      </c>
      <c r="E119" s="88">
        <v>5</v>
      </c>
      <c r="F119" s="1" t="s">
        <v>42</v>
      </c>
    </row>
    <row r="120" spans="1:8" x14ac:dyDescent="0.2">
      <c r="A120" s="1" t="s">
        <v>529</v>
      </c>
      <c r="E120" s="73">
        <f>2*14</f>
        <v>28</v>
      </c>
      <c r="F120" s="1" t="s">
        <v>45</v>
      </c>
    </row>
    <row r="121" spans="1:8" x14ac:dyDescent="0.2">
      <c r="E121" s="83">
        <f>PV(E119/100,E120,E122,E123)</f>
        <v>-3999999.9999999995</v>
      </c>
      <c r="F121" s="1" t="s">
        <v>39</v>
      </c>
      <c r="G121" s="40" t="s">
        <v>51</v>
      </c>
    </row>
    <row r="122" spans="1:8" x14ac:dyDescent="0.2">
      <c r="A122" s="1" t="s">
        <v>530</v>
      </c>
      <c r="E122" s="73">
        <v>200000</v>
      </c>
      <c r="F122" s="1" t="s">
        <v>47</v>
      </c>
    </row>
    <row r="123" spans="1:8" x14ac:dyDescent="0.2">
      <c r="A123" s="1" t="s">
        <v>531</v>
      </c>
      <c r="E123" s="84">
        <v>4000000</v>
      </c>
      <c r="F123" s="1" t="s">
        <v>50</v>
      </c>
    </row>
    <row r="125" spans="1:8" x14ac:dyDescent="0.2">
      <c r="A125" s="1" t="s">
        <v>525</v>
      </c>
    </row>
    <row r="126" spans="1:8" x14ac:dyDescent="0.2">
      <c r="A126" s="1" t="s">
        <v>526</v>
      </c>
    </row>
    <row r="127" spans="1:8" x14ac:dyDescent="0.2">
      <c r="A127" s="1" t="s">
        <v>527</v>
      </c>
    </row>
    <row r="132" spans="1:8" x14ac:dyDescent="0.2">
      <c r="A132" s="1" t="s">
        <v>532</v>
      </c>
    </row>
    <row r="134" spans="1:8" x14ac:dyDescent="0.2">
      <c r="A134" s="85" t="s">
        <v>533</v>
      </c>
      <c r="B134" s="85"/>
      <c r="C134" s="85"/>
      <c r="D134" s="85"/>
      <c r="E134" s="85"/>
      <c r="F134" s="85"/>
      <c r="G134" s="85"/>
      <c r="H134" s="85"/>
    </row>
    <row r="135" spans="1:8" x14ac:dyDescent="0.2">
      <c r="A135" s="1" t="s">
        <v>534</v>
      </c>
    </row>
    <row r="136" spans="1:8" x14ac:dyDescent="0.2">
      <c r="A136" s="1" t="s">
        <v>535</v>
      </c>
    </row>
    <row r="137" spans="1:8" x14ac:dyDescent="0.2">
      <c r="A137" s="1" t="s">
        <v>536</v>
      </c>
    </row>
    <row r="138" spans="1:8" x14ac:dyDescent="0.2">
      <c r="A138" s="1" t="s">
        <v>537</v>
      </c>
    </row>
    <row r="139" spans="1:8" x14ac:dyDescent="0.2">
      <c r="A139" s="1" t="s">
        <v>538</v>
      </c>
    </row>
    <row r="140" spans="1:8" x14ac:dyDescent="0.2">
      <c r="A140" s="1" t="s">
        <v>539</v>
      </c>
    </row>
    <row r="141" spans="1:8" x14ac:dyDescent="0.2">
      <c r="A141" s="1" t="s">
        <v>540</v>
      </c>
    </row>
    <row r="142" spans="1:8" x14ac:dyDescent="0.2">
      <c r="A142" s="1" t="s">
        <v>541</v>
      </c>
    </row>
    <row r="144" spans="1:8" x14ac:dyDescent="0.2">
      <c r="A144" s="1" t="s">
        <v>542</v>
      </c>
      <c r="D144" s="12">
        <f>G149</f>
        <v>0.98534065489688238</v>
      </c>
      <c r="E144" s="1" t="s">
        <v>42</v>
      </c>
      <c r="G144" s="1" t="s">
        <v>547</v>
      </c>
    </row>
    <row r="145" spans="1:9" x14ac:dyDescent="0.2">
      <c r="A145" s="1" t="s">
        <v>543</v>
      </c>
      <c r="D145" s="12">
        <f>4*10</f>
        <v>40</v>
      </c>
      <c r="E145" s="1" t="s">
        <v>45</v>
      </c>
    </row>
    <row r="146" spans="1:9" x14ac:dyDescent="0.2">
      <c r="A146" s="1" t="s">
        <v>544</v>
      </c>
      <c r="D146" s="83">
        <f>PV(D144/100,D145,D147,D148)</f>
        <v>-1227613.0959392439</v>
      </c>
      <c r="E146" s="1" t="s">
        <v>39</v>
      </c>
      <c r="G146" s="1">
        <f>1.04^0.25-1</f>
        <v>9.8534065489688238E-3</v>
      </c>
    </row>
    <row r="147" spans="1:9" x14ac:dyDescent="0.2">
      <c r="A147" s="1" t="s">
        <v>545</v>
      </c>
      <c r="D147" s="12">
        <v>30000</v>
      </c>
      <c r="E147" s="1" t="s">
        <v>47</v>
      </c>
      <c r="G147" s="1" t="s">
        <v>548</v>
      </c>
    </row>
    <row r="148" spans="1:9" x14ac:dyDescent="0.2">
      <c r="A148" s="1" t="s">
        <v>546</v>
      </c>
      <c r="D148" s="12">
        <f>400000-45000</f>
        <v>355000</v>
      </c>
      <c r="E148" s="1" t="s">
        <v>50</v>
      </c>
      <c r="G148" s="1" t="s">
        <v>549</v>
      </c>
    </row>
    <row r="149" spans="1:9" x14ac:dyDescent="0.2">
      <c r="D149" s="12"/>
      <c r="G149" s="1">
        <f>G146*100</f>
        <v>0.98534065489688238</v>
      </c>
      <c r="I149" s="1" t="s">
        <v>553</v>
      </c>
    </row>
    <row r="151" spans="1:9" x14ac:dyDescent="0.2">
      <c r="D151" s="1" t="s">
        <v>550</v>
      </c>
      <c r="G151" s="89">
        <v>400000</v>
      </c>
    </row>
    <row r="152" spans="1:9" x14ac:dyDescent="0.2">
      <c r="D152" s="1" t="s">
        <v>551</v>
      </c>
      <c r="G152" s="89">
        <v>-45000</v>
      </c>
    </row>
    <row r="153" spans="1:9" x14ac:dyDescent="0.2">
      <c r="D153" s="1" t="s">
        <v>552</v>
      </c>
      <c r="G153" s="89">
        <f>G151+G152</f>
        <v>355000</v>
      </c>
    </row>
    <row r="155" spans="1:9" x14ac:dyDescent="0.2">
      <c r="A155" s="85" t="s">
        <v>554</v>
      </c>
      <c r="B155" s="85"/>
      <c r="C155" s="85"/>
      <c r="D155" s="85"/>
      <c r="E155" s="85"/>
      <c r="F155" s="85"/>
      <c r="G155" s="85"/>
      <c r="H155" s="85"/>
    </row>
    <row r="156" spans="1:9" x14ac:dyDescent="0.2">
      <c r="A156" s="1" t="s">
        <v>555</v>
      </c>
    </row>
    <row r="157" spans="1:9" x14ac:dyDescent="0.2">
      <c r="A157" s="1" t="s">
        <v>556</v>
      </c>
    </row>
    <row r="158" spans="1:9" x14ac:dyDescent="0.2">
      <c r="G158" s="1" t="s">
        <v>557</v>
      </c>
    </row>
    <row r="159" spans="1:9" x14ac:dyDescent="0.2">
      <c r="A159" s="1" t="s">
        <v>558</v>
      </c>
      <c r="D159" s="12">
        <v>1</v>
      </c>
      <c r="E159" s="1" t="s">
        <v>42</v>
      </c>
    </row>
    <row r="160" spans="1:9" x14ac:dyDescent="0.2">
      <c r="A160" s="1" t="s">
        <v>543</v>
      </c>
      <c r="D160" s="12">
        <f>4*12</f>
        <v>48</v>
      </c>
      <c r="E160" s="1" t="s">
        <v>45</v>
      </c>
    </row>
    <row r="161" spans="1:8" x14ac:dyDescent="0.2">
      <c r="A161" s="1" t="s">
        <v>559</v>
      </c>
      <c r="D161" s="83">
        <f>PV(D159/100,D160,D162,D163)</f>
        <v>-1511515.254878429</v>
      </c>
      <c r="E161" s="1" t="s">
        <v>39</v>
      </c>
    </row>
    <row r="162" spans="1:8" x14ac:dyDescent="0.2">
      <c r="A162" s="1" t="s">
        <v>560</v>
      </c>
      <c r="D162" s="12">
        <v>40000</v>
      </c>
      <c r="E162" s="1" t="s">
        <v>47</v>
      </c>
    </row>
    <row r="163" spans="1:8" x14ac:dyDescent="0.2">
      <c r="A163" s="1" t="s">
        <v>561</v>
      </c>
      <c r="D163" s="12">
        <v>-12000</v>
      </c>
      <c r="E163" s="1" t="s">
        <v>50</v>
      </c>
    </row>
    <row r="165" spans="1:8" x14ac:dyDescent="0.2">
      <c r="D165" s="1" t="s">
        <v>562</v>
      </c>
    </row>
    <row r="166" spans="1:8" x14ac:dyDescent="0.2">
      <c r="D166" s="1" t="s">
        <v>563</v>
      </c>
    </row>
    <row r="168" spans="1:8" x14ac:dyDescent="0.2">
      <c r="A168" s="1" t="s">
        <v>564</v>
      </c>
    </row>
    <row r="170" spans="1:8" x14ac:dyDescent="0.2">
      <c r="A170" s="85" t="s">
        <v>565</v>
      </c>
      <c r="B170" s="85"/>
      <c r="C170" s="85"/>
      <c r="D170" s="85"/>
      <c r="E170" s="85"/>
      <c r="F170" s="85"/>
      <c r="G170" s="85"/>
      <c r="H170" s="85"/>
    </row>
    <row r="171" spans="1:8" x14ac:dyDescent="0.2">
      <c r="A171" s="1" t="s">
        <v>566</v>
      </c>
    </row>
    <row r="172" spans="1:8" x14ac:dyDescent="0.2">
      <c r="A172" s="1" t="s">
        <v>567</v>
      </c>
    </row>
    <row r="173" spans="1:8" x14ac:dyDescent="0.2">
      <c r="A173" s="1" t="s">
        <v>568</v>
      </c>
    </row>
    <row r="174" spans="1:8" x14ac:dyDescent="0.2">
      <c r="A174" s="1" t="s">
        <v>569</v>
      </c>
    </row>
    <row r="175" spans="1:8" x14ac:dyDescent="0.2">
      <c r="A175" s="1" t="s">
        <v>570</v>
      </c>
    </row>
    <row r="176" spans="1:8" x14ac:dyDescent="0.2">
      <c r="A176" s="1" t="s">
        <v>571</v>
      </c>
    </row>
    <row r="177" spans="1:5" x14ac:dyDescent="0.2">
      <c r="A177" s="1" t="s">
        <v>572</v>
      </c>
    </row>
    <row r="178" spans="1:5" x14ac:dyDescent="0.2">
      <c r="A178" s="1" t="s">
        <v>573</v>
      </c>
    </row>
    <row r="180" spans="1:5" x14ac:dyDescent="0.2">
      <c r="A180" s="1" t="s">
        <v>574</v>
      </c>
    </row>
    <row r="181" spans="1:5" x14ac:dyDescent="0.2">
      <c r="A181" s="1" t="s">
        <v>575</v>
      </c>
    </row>
    <row r="184" spans="1:5" x14ac:dyDescent="0.2">
      <c r="A184" s="1" t="s">
        <v>576</v>
      </c>
      <c r="C184" s="12">
        <f>((1+8%)^(1/12)-1)*100</f>
        <v>0.64340301100034303</v>
      </c>
      <c r="D184" s="1" t="s">
        <v>42</v>
      </c>
    </row>
    <row r="185" spans="1:5" x14ac:dyDescent="0.2">
      <c r="A185" s="1" t="s">
        <v>577</v>
      </c>
      <c r="C185" s="12">
        <f>8*12</f>
        <v>96</v>
      </c>
      <c r="D185" s="1" t="s">
        <v>45</v>
      </c>
    </row>
    <row r="186" spans="1:5" x14ac:dyDescent="0.2">
      <c r="A186" s="1" t="s">
        <v>581</v>
      </c>
      <c r="C186" s="83">
        <f>PV(C184/100,C185,C187,C188)</f>
        <v>214359.16881236585</v>
      </c>
      <c r="D186" s="1" t="s">
        <v>39</v>
      </c>
      <c r="E186" s="1" t="s">
        <v>582</v>
      </c>
    </row>
    <row r="187" spans="1:5" x14ac:dyDescent="0.2">
      <c r="A187" s="1" t="s">
        <v>578</v>
      </c>
      <c r="C187" s="12">
        <v>-3000</v>
      </c>
      <c r="D187" s="1" t="s">
        <v>47</v>
      </c>
      <c r="E187" s="1" t="s">
        <v>579</v>
      </c>
    </row>
    <row r="188" spans="1:5" x14ac:dyDescent="0.2">
      <c r="A188" s="1" t="s">
        <v>580</v>
      </c>
      <c r="C188" s="12">
        <v>0</v>
      </c>
      <c r="D188" s="1" t="s">
        <v>50</v>
      </c>
    </row>
    <row r="190" spans="1:5" x14ac:dyDescent="0.2">
      <c r="A190" s="1" t="s">
        <v>583</v>
      </c>
    </row>
  </sheetData>
  <mergeCells count="2">
    <mergeCell ref="H85:H88"/>
    <mergeCell ref="H112:H1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298F5-5091-3B42-ACD3-94CFE25BD0A8}">
  <dimension ref="A1:J177"/>
  <sheetViews>
    <sheetView rightToLeft="1" topLeftCell="A172" zoomScale="267" workbookViewId="0">
      <selection activeCell="B19" sqref="B19"/>
    </sheetView>
  </sheetViews>
  <sheetFormatPr baseColWidth="10" defaultRowHeight="16" x14ac:dyDescent="0.2"/>
  <cols>
    <col min="1" max="2" width="10.83203125" style="1"/>
    <col min="3" max="3" width="12.33203125" style="1" bestFit="1" customWidth="1"/>
    <col min="4" max="16384" width="10.83203125" style="1"/>
  </cols>
  <sheetData>
    <row r="1" spans="1:8" x14ac:dyDescent="0.2">
      <c r="A1" s="1" t="s">
        <v>584</v>
      </c>
      <c r="H1" s="90">
        <v>45627</v>
      </c>
    </row>
    <row r="3" spans="1:8" x14ac:dyDescent="0.2">
      <c r="A3" s="92" t="s">
        <v>585</v>
      </c>
      <c r="B3" s="91"/>
      <c r="C3" s="91"/>
      <c r="D3" s="91"/>
      <c r="E3" s="91"/>
      <c r="F3" s="91"/>
      <c r="G3" s="91"/>
      <c r="H3" s="91"/>
    </row>
    <row r="4" spans="1:8" x14ac:dyDescent="0.2">
      <c r="A4" s="1" t="s">
        <v>586</v>
      </c>
    </row>
    <row r="5" spans="1:8" x14ac:dyDescent="0.2">
      <c r="A5" s="1" t="s">
        <v>587</v>
      </c>
    </row>
    <row r="6" spans="1:8" x14ac:dyDescent="0.2">
      <c r="A6" s="1" t="s">
        <v>588</v>
      </c>
    </row>
    <row r="8" spans="1:8" x14ac:dyDescent="0.2">
      <c r="A8" s="1" t="s">
        <v>589</v>
      </c>
    </row>
    <row r="9" spans="1:8" x14ac:dyDescent="0.2">
      <c r="A9" s="1" t="s">
        <v>590</v>
      </c>
    </row>
    <row r="10" spans="1:8" x14ac:dyDescent="0.2">
      <c r="A10" s="1" t="s">
        <v>591</v>
      </c>
    </row>
    <row r="11" spans="1:8" x14ac:dyDescent="0.2">
      <c r="A11" s="1" t="s">
        <v>592</v>
      </c>
    </row>
    <row r="13" spans="1:8" x14ac:dyDescent="0.2">
      <c r="A13" s="93" t="s">
        <v>593</v>
      </c>
      <c r="B13" s="93"/>
      <c r="C13" s="93"/>
      <c r="D13" s="93"/>
      <c r="E13" s="93"/>
      <c r="F13" s="93"/>
      <c r="G13" s="93"/>
      <c r="H13" s="93"/>
    </row>
    <row r="14" spans="1:8" x14ac:dyDescent="0.2">
      <c r="A14" s="1" t="s">
        <v>594</v>
      </c>
    </row>
    <row r="15" spans="1:8" x14ac:dyDescent="0.2">
      <c r="A15" s="1" t="s">
        <v>595</v>
      </c>
    </row>
    <row r="16" spans="1:8" x14ac:dyDescent="0.2">
      <c r="A16" s="1" t="s">
        <v>596</v>
      </c>
    </row>
    <row r="18" spans="1:7" x14ac:dyDescent="0.2">
      <c r="A18" s="1" t="s">
        <v>27</v>
      </c>
    </row>
    <row r="20" spans="1:7" x14ac:dyDescent="0.2">
      <c r="A20" s="1" t="s">
        <v>597</v>
      </c>
    </row>
    <row r="21" spans="1:7" x14ac:dyDescent="0.2">
      <c r="A21" s="1" t="s">
        <v>598</v>
      </c>
    </row>
    <row r="25" spans="1:7" x14ac:dyDescent="0.2">
      <c r="B25" s="12">
        <v>10</v>
      </c>
      <c r="C25" s="12" t="s">
        <v>600</v>
      </c>
      <c r="D25" s="12">
        <v>3</v>
      </c>
      <c r="E25" s="12">
        <v>2</v>
      </c>
      <c r="F25" s="12">
        <v>1</v>
      </c>
      <c r="G25" s="12">
        <v>0</v>
      </c>
    </row>
    <row r="26" spans="1:7" x14ac:dyDescent="0.2">
      <c r="A26" s="1" t="s">
        <v>599</v>
      </c>
    </row>
    <row r="27" spans="1:7" x14ac:dyDescent="0.2">
      <c r="B27" s="18">
        <v>5000</v>
      </c>
      <c r="C27" s="18" t="s">
        <v>600</v>
      </c>
      <c r="D27" s="18">
        <v>5000</v>
      </c>
      <c r="E27" s="18">
        <v>5000</v>
      </c>
      <c r="F27" s="18">
        <v>5000</v>
      </c>
      <c r="G27" s="94" t="s">
        <v>601</v>
      </c>
    </row>
    <row r="28" spans="1:7" x14ac:dyDescent="0.2">
      <c r="B28" s="18">
        <v>40000</v>
      </c>
      <c r="C28" s="18"/>
      <c r="D28" s="18"/>
      <c r="E28" s="18"/>
      <c r="F28" s="18"/>
    </row>
    <row r="37" spans="1:8" x14ac:dyDescent="0.2">
      <c r="F37" s="1" t="s">
        <v>177</v>
      </c>
    </row>
    <row r="38" spans="1:8" x14ac:dyDescent="0.2">
      <c r="E38" s="12" t="s">
        <v>179</v>
      </c>
      <c r="F38" s="1" t="s">
        <v>178</v>
      </c>
    </row>
    <row r="39" spans="1:8" x14ac:dyDescent="0.2">
      <c r="E39" s="12">
        <v>4</v>
      </c>
      <c r="F39" s="1" t="s">
        <v>42</v>
      </c>
    </row>
    <row r="40" spans="1:8" x14ac:dyDescent="0.2">
      <c r="E40" s="12">
        <v>10</v>
      </c>
      <c r="F40" s="1" t="s">
        <v>45</v>
      </c>
    </row>
    <row r="41" spans="1:8" x14ac:dyDescent="0.2">
      <c r="E41" s="42">
        <f>PV(E39/100,E40,E42,E43)</f>
        <v>-67577.045649807129</v>
      </c>
      <c r="F41" s="1" t="s">
        <v>39</v>
      </c>
      <c r="G41" s="95" t="s">
        <v>51</v>
      </c>
    </row>
    <row r="42" spans="1:8" x14ac:dyDescent="0.2">
      <c r="E42" s="12">
        <v>5000</v>
      </c>
      <c r="F42" s="1" t="s">
        <v>47</v>
      </c>
    </row>
    <row r="43" spans="1:8" x14ac:dyDescent="0.2">
      <c r="E43" s="12">
        <v>40000</v>
      </c>
      <c r="F43" s="1" t="s">
        <v>50</v>
      </c>
    </row>
    <row r="45" spans="1:8" x14ac:dyDescent="0.2">
      <c r="A45" s="93" t="s">
        <v>602</v>
      </c>
      <c r="B45" s="93"/>
      <c r="C45" s="93"/>
      <c r="D45" s="93"/>
      <c r="E45" s="93"/>
      <c r="F45" s="93"/>
      <c r="G45" s="93"/>
      <c r="H45" s="93"/>
    </row>
    <row r="46" spans="1:8" x14ac:dyDescent="0.2">
      <c r="A46" s="1" t="s">
        <v>603</v>
      </c>
    </row>
    <row r="47" spans="1:8" x14ac:dyDescent="0.2">
      <c r="A47" s="1" t="s">
        <v>604</v>
      </c>
    </row>
    <row r="48" spans="1:8" x14ac:dyDescent="0.2">
      <c r="A48" s="1" t="s">
        <v>605</v>
      </c>
    </row>
    <row r="49" spans="1:8" x14ac:dyDescent="0.2">
      <c r="A49" s="1" t="s">
        <v>606</v>
      </c>
    </row>
    <row r="51" spans="1:8" x14ac:dyDescent="0.2">
      <c r="A51" s="1" t="s">
        <v>27</v>
      </c>
    </row>
    <row r="52" spans="1:8" x14ac:dyDescent="0.2">
      <c r="A52" s="1" t="s">
        <v>610</v>
      </c>
    </row>
    <row r="53" spans="1:8" x14ac:dyDescent="0.2">
      <c r="A53" s="1" t="s">
        <v>611</v>
      </c>
    </row>
    <row r="55" spans="1:8" x14ac:dyDescent="0.2">
      <c r="B55" s="12" t="s">
        <v>607</v>
      </c>
      <c r="C55" s="12"/>
      <c r="D55" s="12"/>
      <c r="E55" s="12" t="s">
        <v>609</v>
      </c>
      <c r="F55" s="12"/>
      <c r="G55" s="12"/>
    </row>
    <row r="56" spans="1:8" x14ac:dyDescent="0.2">
      <c r="B56" s="12" t="s">
        <v>608</v>
      </c>
      <c r="C56" s="12"/>
      <c r="D56" s="12"/>
      <c r="E56" s="12" t="s">
        <v>608</v>
      </c>
      <c r="F56" s="12"/>
      <c r="G56" s="12"/>
    </row>
    <row r="57" spans="1:8" x14ac:dyDescent="0.2">
      <c r="B57" s="12">
        <f>17*12</f>
        <v>204</v>
      </c>
      <c r="C57" s="12"/>
      <c r="D57" s="12"/>
      <c r="E57" s="12">
        <f>7*12</f>
        <v>84</v>
      </c>
      <c r="F57" s="12"/>
      <c r="G57" s="12">
        <v>1</v>
      </c>
      <c r="H57" s="12">
        <v>0</v>
      </c>
    </row>
    <row r="58" spans="1:8" x14ac:dyDescent="0.2">
      <c r="A58" s="1" t="s">
        <v>382</v>
      </c>
    </row>
    <row r="66" spans="1:8" x14ac:dyDescent="0.2">
      <c r="B66" s="1" t="s">
        <v>614</v>
      </c>
    </row>
    <row r="67" spans="1:8" x14ac:dyDescent="0.2">
      <c r="B67" s="1" t="s">
        <v>615</v>
      </c>
      <c r="E67" s="59" t="s">
        <v>613</v>
      </c>
      <c r="F67" s="59" t="s">
        <v>612</v>
      </c>
      <c r="G67" s="59" t="s">
        <v>177</v>
      </c>
      <c r="H67" s="12"/>
    </row>
    <row r="68" spans="1:8" x14ac:dyDescent="0.2">
      <c r="B68" s="1" t="s">
        <v>616</v>
      </c>
      <c r="E68" s="12" t="s">
        <v>179</v>
      </c>
      <c r="F68" s="12" t="s">
        <v>179</v>
      </c>
      <c r="G68" s="12" t="s">
        <v>178</v>
      </c>
    </row>
    <row r="69" spans="1:8" x14ac:dyDescent="0.2">
      <c r="B69" s="1" t="s">
        <v>617</v>
      </c>
      <c r="E69" s="12">
        <v>0.4</v>
      </c>
      <c r="F69" s="12">
        <v>0.4</v>
      </c>
      <c r="G69" s="12" t="s">
        <v>42</v>
      </c>
    </row>
    <row r="70" spans="1:8" x14ac:dyDescent="0.2">
      <c r="B70" s="1" t="s">
        <v>618</v>
      </c>
      <c r="E70" s="12">
        <v>84</v>
      </c>
      <c r="F70" s="12">
        <v>120</v>
      </c>
      <c r="G70" s="12" t="s">
        <v>45</v>
      </c>
    </row>
    <row r="71" spans="1:8" x14ac:dyDescent="0.2">
      <c r="B71" s="1" t="s">
        <v>619</v>
      </c>
      <c r="E71" s="96">
        <f>PV(E69/100,E70,E72,E73)</f>
        <v>-2229243.9042470139</v>
      </c>
      <c r="F71" s="42">
        <f>PV(F69/100,F70,F72,F73)</f>
        <v>-2619376.1282256576</v>
      </c>
      <c r="G71" s="12" t="s">
        <v>39</v>
      </c>
      <c r="H71" s="95" t="s">
        <v>51</v>
      </c>
    </row>
    <row r="72" spans="1:8" x14ac:dyDescent="0.2">
      <c r="B72" s="1" t="s">
        <v>620</v>
      </c>
      <c r="E72" s="12">
        <v>5000</v>
      </c>
      <c r="F72" s="12">
        <v>8000</v>
      </c>
      <c r="G72" s="12" t="s">
        <v>47</v>
      </c>
    </row>
    <row r="73" spans="1:8" x14ac:dyDescent="0.2">
      <c r="B73" s="1" t="s">
        <v>621</v>
      </c>
      <c r="E73" s="42">
        <f>-F71</f>
        <v>2619376.1282256576</v>
      </c>
      <c r="F73" s="12">
        <v>3000000</v>
      </c>
      <c r="G73" s="12" t="s">
        <v>50</v>
      </c>
    </row>
    <row r="80" spans="1:8" x14ac:dyDescent="0.2">
      <c r="A80" s="93" t="s">
        <v>622</v>
      </c>
      <c r="B80" s="93"/>
      <c r="C80" s="93"/>
      <c r="D80" s="93"/>
      <c r="E80" s="93"/>
      <c r="F80" s="93"/>
      <c r="G80" s="93"/>
      <c r="H80" s="93"/>
    </row>
    <row r="81" spans="1:10" x14ac:dyDescent="0.2">
      <c r="A81" s="1" t="s">
        <v>623</v>
      </c>
    </row>
    <row r="82" spans="1:10" x14ac:dyDescent="0.2">
      <c r="A82" s="1" t="s">
        <v>624</v>
      </c>
    </row>
    <row r="83" spans="1:10" x14ac:dyDescent="0.2">
      <c r="A83" s="1" t="s">
        <v>625</v>
      </c>
    </row>
    <row r="84" spans="1:10" x14ac:dyDescent="0.2">
      <c r="A84" s="1" t="s">
        <v>626</v>
      </c>
    </row>
    <row r="85" spans="1:10" x14ac:dyDescent="0.2">
      <c r="A85" s="1" t="s">
        <v>627</v>
      </c>
    </row>
    <row r="86" spans="1:10" x14ac:dyDescent="0.2">
      <c r="A86" s="1" t="s">
        <v>628</v>
      </c>
    </row>
    <row r="87" spans="1:10" x14ac:dyDescent="0.2">
      <c r="A87" s="1" t="s">
        <v>629</v>
      </c>
    </row>
    <row r="89" spans="1:10" x14ac:dyDescent="0.2">
      <c r="A89" s="1" t="s">
        <v>632</v>
      </c>
    </row>
    <row r="90" spans="1:10" x14ac:dyDescent="0.2">
      <c r="I90" s="1" t="s">
        <v>635</v>
      </c>
    </row>
    <row r="91" spans="1:10" x14ac:dyDescent="0.2">
      <c r="A91" s="1" t="s">
        <v>642</v>
      </c>
      <c r="C91" s="1" t="s">
        <v>639</v>
      </c>
      <c r="E91" s="1" t="s">
        <v>638</v>
      </c>
      <c r="G91" s="1" t="s">
        <v>636</v>
      </c>
    </row>
    <row r="94" spans="1:10" x14ac:dyDescent="0.2">
      <c r="A94" s="12" t="s">
        <v>630</v>
      </c>
      <c r="C94" s="1" t="s">
        <v>640</v>
      </c>
      <c r="E94" s="1" t="s">
        <v>630</v>
      </c>
      <c r="F94" s="12" t="s">
        <v>630</v>
      </c>
      <c r="H94" s="12" t="s">
        <v>630</v>
      </c>
    </row>
    <row r="95" spans="1:10" x14ac:dyDescent="0.2">
      <c r="A95" s="12" t="s">
        <v>631</v>
      </c>
      <c r="C95" s="1" t="s">
        <v>641</v>
      </c>
      <c r="E95" s="1" t="s">
        <v>637</v>
      </c>
      <c r="F95" s="12" t="s">
        <v>634</v>
      </c>
      <c r="H95" s="12" t="s">
        <v>633</v>
      </c>
      <c r="J95" s="12"/>
    </row>
    <row r="96" spans="1:10" x14ac:dyDescent="0.2">
      <c r="A96" s="12">
        <f>14*12</f>
        <v>168</v>
      </c>
      <c r="C96" s="1">
        <f>11*12</f>
        <v>132</v>
      </c>
      <c r="E96" s="1">
        <f>9*12</f>
        <v>108</v>
      </c>
      <c r="F96" s="12">
        <f>8*12</f>
        <v>96</v>
      </c>
      <c r="H96" s="12">
        <v>36</v>
      </c>
      <c r="J96" s="12">
        <v>0</v>
      </c>
    </row>
    <row r="97" spans="1:10" x14ac:dyDescent="0.2">
      <c r="A97" s="12"/>
      <c r="F97" s="12"/>
      <c r="H97" s="12"/>
      <c r="J97" s="12"/>
    </row>
    <row r="98" spans="1:10" x14ac:dyDescent="0.2">
      <c r="A98" s="18"/>
      <c r="F98" s="12"/>
      <c r="J98" s="12"/>
    </row>
    <row r="99" spans="1:10" x14ac:dyDescent="0.2">
      <c r="G99" s="12"/>
      <c r="J99" s="12"/>
    </row>
    <row r="100" spans="1:10" x14ac:dyDescent="0.2">
      <c r="G100" s="12"/>
      <c r="J100" s="12"/>
    </row>
    <row r="101" spans="1:10" x14ac:dyDescent="0.2">
      <c r="G101" s="12"/>
      <c r="J101" s="12"/>
    </row>
    <row r="103" spans="1:10" x14ac:dyDescent="0.2">
      <c r="C103" s="59" t="s">
        <v>645</v>
      </c>
      <c r="D103" s="59" t="s">
        <v>644</v>
      </c>
      <c r="E103" s="59" t="s">
        <v>643</v>
      </c>
      <c r="F103" s="59" t="s">
        <v>613</v>
      </c>
      <c r="G103" s="59" t="s">
        <v>612</v>
      </c>
      <c r="H103" s="59" t="s">
        <v>177</v>
      </c>
      <c r="I103" s="12"/>
    </row>
    <row r="104" spans="1:10" x14ac:dyDescent="0.2">
      <c r="C104" s="12" t="s">
        <v>179</v>
      </c>
      <c r="D104" s="12" t="s">
        <v>179</v>
      </c>
      <c r="E104" s="12" t="s">
        <v>179</v>
      </c>
      <c r="F104" s="12" t="s">
        <v>179</v>
      </c>
      <c r="G104" s="12" t="s">
        <v>179</v>
      </c>
      <c r="H104" s="12" t="s">
        <v>178</v>
      </c>
    </row>
    <row r="105" spans="1:10" x14ac:dyDescent="0.2">
      <c r="C105" s="12">
        <v>1</v>
      </c>
      <c r="D105" s="12">
        <v>1</v>
      </c>
      <c r="E105" s="12">
        <v>1</v>
      </c>
      <c r="F105" s="12">
        <v>1</v>
      </c>
      <c r="G105" s="12">
        <v>1</v>
      </c>
      <c r="H105" s="12" t="s">
        <v>42</v>
      </c>
      <c r="I105" s="1" t="s">
        <v>137</v>
      </c>
    </row>
    <row r="106" spans="1:10" x14ac:dyDescent="0.2">
      <c r="C106" s="12">
        <v>36</v>
      </c>
      <c r="D106" s="12">
        <v>60</v>
      </c>
      <c r="E106" s="12">
        <v>12</v>
      </c>
      <c r="F106" s="12">
        <v>24</v>
      </c>
      <c r="G106" s="12">
        <f>3*12</f>
        <v>36</v>
      </c>
      <c r="H106" s="12" t="s">
        <v>45</v>
      </c>
      <c r="I106" s="1" t="s">
        <v>646</v>
      </c>
    </row>
    <row r="107" spans="1:10" x14ac:dyDescent="0.2">
      <c r="C107" s="97">
        <f t="shared" ref="C107:E107" si="0">PV(C105/100,C106,C108,C109)</f>
        <v>-2027343.5010258981</v>
      </c>
      <c r="D107" s="96">
        <f t="shared" si="0"/>
        <v>-2900659.7948851213</v>
      </c>
      <c r="E107" s="96">
        <f t="shared" si="0"/>
        <v>-2819528.9773331205</v>
      </c>
      <c r="F107" s="96">
        <f>PV(F105/100,F106,F108,F109)</f>
        <v>-3177115.8248413554</v>
      </c>
      <c r="G107" s="42">
        <f>PV(G105/100,G106,G108,G109)</f>
        <v>-3494624.7481362936</v>
      </c>
      <c r="H107" s="12" t="s">
        <v>39</v>
      </c>
      <c r="I107" s="95" t="s">
        <v>51</v>
      </c>
    </row>
    <row r="108" spans="1:10" x14ac:dyDescent="0.2">
      <c r="C108" s="12">
        <v>0</v>
      </c>
      <c r="D108" s="12">
        <v>30000</v>
      </c>
      <c r="E108" s="12">
        <v>0</v>
      </c>
      <c r="F108" s="12">
        <v>20000</v>
      </c>
      <c r="G108" s="12">
        <v>0</v>
      </c>
      <c r="H108" s="12" t="s">
        <v>47</v>
      </c>
    </row>
    <row r="109" spans="1:10" x14ac:dyDescent="0.2">
      <c r="C109" s="42">
        <f t="shared" ref="C109" si="1">-D107</f>
        <v>2900659.7948851213</v>
      </c>
      <c r="D109" s="42">
        <f t="shared" ref="D109:E109" si="2">-E107</f>
        <v>2819528.9773331205</v>
      </c>
      <c r="E109" s="42">
        <f t="shared" si="2"/>
        <v>3177115.8248413554</v>
      </c>
      <c r="F109" s="42">
        <f>-G107</f>
        <v>3494624.7481362936</v>
      </c>
      <c r="G109" s="12">
        <v>5000000</v>
      </c>
      <c r="H109" s="12" t="s">
        <v>50</v>
      </c>
    </row>
    <row r="112" spans="1:10" x14ac:dyDescent="0.2">
      <c r="D112" s="2" t="s">
        <v>647</v>
      </c>
    </row>
    <row r="118" spans="1:8" x14ac:dyDescent="0.2">
      <c r="A118" s="93" t="s">
        <v>648</v>
      </c>
      <c r="B118" s="93"/>
      <c r="C118" s="93"/>
      <c r="D118" s="93"/>
      <c r="E118" s="93"/>
      <c r="F118" s="93"/>
      <c r="G118" s="93"/>
      <c r="H118" s="93"/>
    </row>
    <row r="119" spans="1:8" x14ac:dyDescent="0.2">
      <c r="A119" s="1" t="s">
        <v>649</v>
      </c>
    </row>
    <row r="120" spans="1:8" x14ac:dyDescent="0.2">
      <c r="A120" s="1" t="s">
        <v>650</v>
      </c>
    </row>
    <row r="121" spans="1:8" x14ac:dyDescent="0.2">
      <c r="A121" s="1" t="s">
        <v>651</v>
      </c>
    </row>
    <row r="122" spans="1:8" x14ac:dyDescent="0.2">
      <c r="A122" s="1" t="s">
        <v>652</v>
      </c>
    </row>
    <row r="124" spans="1:8" x14ac:dyDescent="0.2">
      <c r="A124" s="12" t="s">
        <v>630</v>
      </c>
      <c r="C124" s="12" t="s">
        <v>640</v>
      </c>
    </row>
    <row r="125" spans="1:8" x14ac:dyDescent="0.2">
      <c r="A125" s="12" t="s">
        <v>654</v>
      </c>
      <c r="C125" s="12" t="s">
        <v>633</v>
      </c>
    </row>
    <row r="126" spans="1:8" x14ac:dyDescent="0.2">
      <c r="A126" s="12">
        <v>48</v>
      </c>
      <c r="C126" s="12">
        <v>36</v>
      </c>
      <c r="D126" s="1" t="s">
        <v>656</v>
      </c>
      <c r="E126" s="1" t="s">
        <v>655</v>
      </c>
      <c r="F126" s="1">
        <v>0</v>
      </c>
    </row>
    <row r="127" spans="1:8" x14ac:dyDescent="0.2">
      <c r="C127" s="12"/>
    </row>
    <row r="128" spans="1:8" x14ac:dyDescent="0.2">
      <c r="A128" s="18">
        <v>2000000</v>
      </c>
      <c r="C128" s="12"/>
    </row>
    <row r="129" spans="1:8" x14ac:dyDescent="0.2">
      <c r="C129" s="12"/>
      <c r="E129" s="12"/>
    </row>
    <row r="130" spans="1:8" x14ac:dyDescent="0.2">
      <c r="G130" s="1" t="s">
        <v>653</v>
      </c>
    </row>
    <row r="133" spans="1:8" x14ac:dyDescent="0.2">
      <c r="C133" s="59" t="s">
        <v>643</v>
      </c>
      <c r="D133" s="59" t="s">
        <v>613</v>
      </c>
      <c r="E133" s="59" t="s">
        <v>612</v>
      </c>
      <c r="F133" s="59" t="s">
        <v>177</v>
      </c>
      <c r="G133" s="12"/>
    </row>
    <row r="134" spans="1:8" x14ac:dyDescent="0.2">
      <c r="C134" s="12" t="s">
        <v>179</v>
      </c>
      <c r="D134" s="12" t="s">
        <v>179</v>
      </c>
      <c r="E134" s="12" t="s">
        <v>179</v>
      </c>
      <c r="F134" s="12" t="s">
        <v>178</v>
      </c>
    </row>
    <row r="135" spans="1:8" x14ac:dyDescent="0.2">
      <c r="C135" s="12">
        <v>1</v>
      </c>
      <c r="D135" s="12">
        <v>1</v>
      </c>
      <c r="E135" s="12">
        <v>1</v>
      </c>
      <c r="F135" s="12" t="s">
        <v>42</v>
      </c>
      <c r="G135" s="1" t="s">
        <v>137</v>
      </c>
    </row>
    <row r="136" spans="1:8" ht="17" thickBot="1" x14ac:dyDescent="0.25">
      <c r="C136" s="12">
        <v>12</v>
      </c>
      <c r="D136" s="12">
        <v>24</v>
      </c>
      <c r="E136" s="12">
        <v>12</v>
      </c>
      <c r="F136" s="12" t="s">
        <v>45</v>
      </c>
      <c r="G136" s="1" t="s">
        <v>646</v>
      </c>
    </row>
    <row r="137" spans="1:8" ht="17" thickBot="1" x14ac:dyDescent="0.25">
      <c r="C137" s="98">
        <f t="shared" ref="C137" si="3">PV(C135/100,C136,C138,C139)</f>
        <v>-1398655.68540707</v>
      </c>
      <c r="D137" s="96">
        <f>PV(D135/100,D136,D138,D139)</f>
        <v>-1525310.2228002846</v>
      </c>
      <c r="E137" s="42">
        <f>PV(E135/100,E136,E138,E139)</f>
        <v>-1774898.4505303074</v>
      </c>
      <c r="F137" s="12" t="s">
        <v>39</v>
      </c>
      <c r="G137" s="95" t="s">
        <v>51</v>
      </c>
    </row>
    <row r="138" spans="1:8" x14ac:dyDescent="0.2">
      <c r="C138" s="12">
        <v>4000</v>
      </c>
      <c r="D138" s="12">
        <v>6000</v>
      </c>
      <c r="E138" s="12">
        <v>0</v>
      </c>
      <c r="F138" s="12" t="s">
        <v>47</v>
      </c>
    </row>
    <row r="139" spans="1:8" x14ac:dyDescent="0.2">
      <c r="C139" s="42">
        <f t="shared" ref="C139" si="4">-D137</f>
        <v>1525310.2228002846</v>
      </c>
      <c r="D139" s="42">
        <f>-E137</f>
        <v>1774898.4505303074</v>
      </c>
      <c r="E139" s="12">
        <v>2000000</v>
      </c>
      <c r="F139" s="12" t="s">
        <v>50</v>
      </c>
    </row>
    <row r="142" spans="1:8" x14ac:dyDescent="0.2">
      <c r="A142" s="93" t="s">
        <v>657</v>
      </c>
      <c r="B142" s="93"/>
      <c r="C142" s="93"/>
      <c r="D142" s="93"/>
      <c r="E142" s="93"/>
      <c r="F142" s="93"/>
      <c r="G142" s="93"/>
      <c r="H142" s="93"/>
    </row>
    <row r="143" spans="1:8" x14ac:dyDescent="0.2">
      <c r="A143" s="1" t="s">
        <v>658</v>
      </c>
    </row>
    <row r="144" spans="1:8" x14ac:dyDescent="0.2">
      <c r="A144" s="1" t="s">
        <v>659</v>
      </c>
    </row>
    <row r="145" spans="1:8" x14ac:dyDescent="0.2">
      <c r="A145" s="1" t="s">
        <v>660</v>
      </c>
    </row>
    <row r="146" spans="1:8" x14ac:dyDescent="0.2">
      <c r="A146" s="1" t="s">
        <v>661</v>
      </c>
    </row>
    <row r="147" spans="1:8" x14ac:dyDescent="0.2">
      <c r="A147" s="1" t="s">
        <v>662</v>
      </c>
    </row>
    <row r="148" spans="1:8" x14ac:dyDescent="0.2">
      <c r="A148" s="1" t="s">
        <v>663</v>
      </c>
    </row>
    <row r="149" spans="1:8" x14ac:dyDescent="0.2">
      <c r="A149" s="1" t="s">
        <v>664</v>
      </c>
    </row>
    <row r="150" spans="1:8" x14ac:dyDescent="0.2">
      <c r="A150" s="1" t="s">
        <v>665</v>
      </c>
    </row>
    <row r="152" spans="1:8" x14ac:dyDescent="0.2">
      <c r="A152" s="1" t="s">
        <v>27</v>
      </c>
    </row>
    <row r="153" spans="1:8" x14ac:dyDescent="0.2">
      <c r="A153" s="1" t="s">
        <v>666</v>
      </c>
    </row>
    <row r="154" spans="1:8" x14ac:dyDescent="0.2">
      <c r="A154" s="1" t="s">
        <v>667</v>
      </c>
    </row>
    <row r="155" spans="1:8" x14ac:dyDescent="0.2">
      <c r="A155" s="1" t="s">
        <v>668</v>
      </c>
    </row>
    <row r="158" spans="1:8" x14ac:dyDescent="0.2">
      <c r="B158" s="12">
        <v>14</v>
      </c>
      <c r="C158" s="12" t="s">
        <v>677</v>
      </c>
      <c r="D158" s="12">
        <v>11</v>
      </c>
      <c r="E158" s="12">
        <v>8.25</v>
      </c>
      <c r="F158" s="12">
        <v>8</v>
      </c>
      <c r="G158" s="12">
        <v>1</v>
      </c>
      <c r="H158" s="12">
        <v>0</v>
      </c>
    </row>
    <row r="159" spans="1:8" x14ac:dyDescent="0.2">
      <c r="H159" s="12"/>
    </row>
    <row r="160" spans="1:8" x14ac:dyDescent="0.2">
      <c r="H160" s="12"/>
    </row>
    <row r="161" spans="1:8" x14ac:dyDescent="0.2">
      <c r="H161" s="12"/>
    </row>
    <row r="166" spans="1:8" x14ac:dyDescent="0.2">
      <c r="A166" s="1" t="s">
        <v>674</v>
      </c>
    </row>
    <row r="167" spans="1:8" x14ac:dyDescent="0.2">
      <c r="A167" s="1" t="s">
        <v>675</v>
      </c>
      <c r="E167" s="1" t="s">
        <v>671</v>
      </c>
      <c r="H167" s="1" t="s">
        <v>669</v>
      </c>
    </row>
    <row r="168" spans="1:8" x14ac:dyDescent="0.2">
      <c r="A168" s="1" t="s">
        <v>676</v>
      </c>
      <c r="E168" s="1" t="s">
        <v>672</v>
      </c>
      <c r="H168" s="1" t="s">
        <v>670</v>
      </c>
    </row>
    <row r="169" spans="1:8" x14ac:dyDescent="0.2">
      <c r="E169" s="1" t="s">
        <v>673</v>
      </c>
    </row>
    <row r="171" spans="1:8" x14ac:dyDescent="0.2">
      <c r="C171" s="59" t="s">
        <v>643</v>
      </c>
      <c r="D171" s="59" t="s">
        <v>613</v>
      </c>
      <c r="E171" s="59" t="s">
        <v>612</v>
      </c>
      <c r="F171" s="59" t="s">
        <v>177</v>
      </c>
      <c r="G171" s="12"/>
    </row>
    <row r="172" spans="1:8" x14ac:dyDescent="0.2">
      <c r="C172" s="12" t="s">
        <v>179</v>
      </c>
      <c r="D172" s="12" t="s">
        <v>179</v>
      </c>
      <c r="E172" s="12" t="s">
        <v>179</v>
      </c>
      <c r="F172" s="12" t="s">
        <v>178</v>
      </c>
    </row>
    <row r="173" spans="1:8" x14ac:dyDescent="0.2">
      <c r="C173" s="12">
        <v>5</v>
      </c>
      <c r="D173" s="12">
        <v>3.0301</v>
      </c>
      <c r="E173" s="12">
        <v>1</v>
      </c>
      <c r="F173" s="12" t="s">
        <v>42</v>
      </c>
    </row>
    <row r="174" spans="1:8" ht="17" thickBot="1" x14ac:dyDescent="0.25">
      <c r="C174" s="12">
        <v>16</v>
      </c>
      <c r="D174" s="12">
        <v>12</v>
      </c>
      <c r="E174" s="12">
        <v>36</v>
      </c>
      <c r="F174" s="12" t="s">
        <v>45</v>
      </c>
    </row>
    <row r="175" spans="1:8" ht="22" thickBot="1" x14ac:dyDescent="0.3">
      <c r="C175" s="99">
        <f t="shared" ref="C175" si="5">PV(C173/100,C174,C176,C177)</f>
        <v>-358137.62553924794</v>
      </c>
      <c r="D175" s="96">
        <f>PV(D173/100,D174,D176,D177)</f>
        <v>-308619.68658029538</v>
      </c>
      <c r="E175" s="42">
        <f>PV(E173/100,E174,E176,E177)</f>
        <v>-270967.54533546715</v>
      </c>
      <c r="F175" s="12" t="s">
        <v>39</v>
      </c>
      <c r="G175" s="95" t="s">
        <v>51</v>
      </c>
    </row>
    <row r="176" spans="1:8" x14ac:dyDescent="0.2">
      <c r="C176" s="12">
        <v>20000</v>
      </c>
      <c r="D176" s="12">
        <v>12000</v>
      </c>
      <c r="E176" s="12">
        <v>9000</v>
      </c>
      <c r="F176" s="12" t="s">
        <v>47</v>
      </c>
    </row>
    <row r="177" spans="3:6" x14ac:dyDescent="0.2">
      <c r="C177" s="42">
        <f t="shared" ref="C177" si="6">-D175</f>
        <v>308619.68658029538</v>
      </c>
      <c r="D177" s="42">
        <f>-E175</f>
        <v>270967.54533546715</v>
      </c>
      <c r="E177" s="12">
        <v>0</v>
      </c>
      <c r="F177" s="12" t="s">
        <v>50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5D826-A206-DA4A-98ED-129BC4B6D8E8}">
  <dimension ref="A1:H239"/>
  <sheetViews>
    <sheetView rightToLeft="1" topLeftCell="A221" zoomScale="317" workbookViewId="0">
      <selection activeCell="B92" sqref="B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678</v>
      </c>
      <c r="H1" s="90">
        <v>45634</v>
      </c>
    </row>
    <row r="3" spans="1:8" x14ac:dyDescent="0.2">
      <c r="A3" s="29" t="s">
        <v>679</v>
      </c>
      <c r="B3" s="29"/>
      <c r="C3" s="29"/>
      <c r="D3" s="29"/>
      <c r="E3" s="29"/>
      <c r="F3" s="29"/>
      <c r="G3" s="29"/>
      <c r="H3" s="29"/>
    </row>
    <row r="4" spans="1:8" x14ac:dyDescent="0.2">
      <c r="A4" s="1" t="s">
        <v>680</v>
      </c>
    </row>
    <row r="5" spans="1:8" x14ac:dyDescent="0.2">
      <c r="A5" s="1" t="s">
        <v>681</v>
      </c>
    </row>
    <row r="7" spans="1:8" x14ac:dyDescent="0.2">
      <c r="A7" s="100" t="s">
        <v>682</v>
      </c>
      <c r="B7" s="100"/>
      <c r="C7" s="100"/>
      <c r="D7" s="100"/>
      <c r="E7" s="100"/>
      <c r="F7" s="100"/>
      <c r="G7" s="100"/>
      <c r="H7" s="100"/>
    </row>
    <row r="8" spans="1:8" x14ac:dyDescent="0.2">
      <c r="A8" s="1" t="s">
        <v>683</v>
      </c>
    </row>
    <row r="9" spans="1:8" x14ac:dyDescent="0.2">
      <c r="A9" s="1" t="s">
        <v>684</v>
      </c>
    </row>
    <row r="10" spans="1:8" x14ac:dyDescent="0.2">
      <c r="A10" s="1" t="s">
        <v>685</v>
      </c>
    </row>
    <row r="12" spans="1:8" x14ac:dyDescent="0.2">
      <c r="A12" s="1" t="s">
        <v>686</v>
      </c>
    </row>
    <row r="13" spans="1:8" x14ac:dyDescent="0.2">
      <c r="A13" s="1" t="s">
        <v>687</v>
      </c>
    </row>
    <row r="15" spans="1:8" x14ac:dyDescent="0.2">
      <c r="A15" s="1" t="s">
        <v>27</v>
      </c>
    </row>
    <row r="17" spans="1:8" x14ac:dyDescent="0.2">
      <c r="A17" s="81" t="s">
        <v>686</v>
      </c>
      <c r="F17" s="1" t="s">
        <v>696</v>
      </c>
    </row>
    <row r="18" spans="1:8" x14ac:dyDescent="0.2">
      <c r="A18" s="1" t="s">
        <v>688</v>
      </c>
    </row>
    <row r="19" spans="1:8" x14ac:dyDescent="0.2">
      <c r="A19" s="1" t="s">
        <v>689</v>
      </c>
    </row>
    <row r="20" spans="1:8" x14ac:dyDescent="0.2">
      <c r="A20" s="1" t="s">
        <v>690</v>
      </c>
    </row>
    <row r="23" spans="1:8" x14ac:dyDescent="0.2">
      <c r="C23" s="12">
        <v>36</v>
      </c>
      <c r="D23" s="12"/>
      <c r="E23" s="12"/>
      <c r="F23" s="12"/>
      <c r="G23" s="12">
        <v>1</v>
      </c>
      <c r="H23" s="12">
        <v>0</v>
      </c>
    </row>
    <row r="24" spans="1:8" x14ac:dyDescent="0.2">
      <c r="A24" s="1" t="s">
        <v>382</v>
      </c>
      <c r="H24" s="12"/>
    </row>
    <row r="25" spans="1:8" x14ac:dyDescent="0.2">
      <c r="H25" s="12" t="s">
        <v>691</v>
      </c>
    </row>
    <row r="26" spans="1:8" x14ac:dyDescent="0.2">
      <c r="H26" s="12" t="s">
        <v>692</v>
      </c>
    </row>
    <row r="31" spans="1:8" x14ac:dyDescent="0.2">
      <c r="E31" s="12" t="s">
        <v>179</v>
      </c>
      <c r="F31" s="1" t="s">
        <v>178</v>
      </c>
    </row>
    <row r="32" spans="1:8" x14ac:dyDescent="0.2">
      <c r="E32" s="12">
        <v>36</v>
      </c>
      <c r="F32" s="1" t="s">
        <v>45</v>
      </c>
    </row>
    <row r="33" spans="1:8" x14ac:dyDescent="0.2">
      <c r="E33" s="12">
        <v>1</v>
      </c>
      <c r="F33" s="1" t="s">
        <v>42</v>
      </c>
    </row>
    <row r="34" spans="1:8" x14ac:dyDescent="0.2">
      <c r="A34" s="1" t="s">
        <v>694</v>
      </c>
      <c r="E34" s="12">
        <v>300000</v>
      </c>
      <c r="F34" s="1" t="s">
        <v>39</v>
      </c>
    </row>
    <row r="35" spans="1:8" x14ac:dyDescent="0.2">
      <c r="A35" s="1" t="s">
        <v>695</v>
      </c>
      <c r="E35" s="42">
        <f>PMT(E33/100,E32,E34,E36)</f>
        <v>-9964.2929438553565</v>
      </c>
      <c r="F35" s="1" t="s">
        <v>47</v>
      </c>
      <c r="G35" s="1" t="s">
        <v>51</v>
      </c>
    </row>
    <row r="36" spans="1:8" x14ac:dyDescent="0.2">
      <c r="A36" s="1" t="s">
        <v>693</v>
      </c>
      <c r="E36" s="12">
        <v>0</v>
      </c>
      <c r="F36" s="1" t="s">
        <v>50</v>
      </c>
    </row>
    <row r="38" spans="1:8" x14ac:dyDescent="0.2">
      <c r="A38" s="81" t="s">
        <v>687</v>
      </c>
      <c r="G38" s="1" t="s">
        <v>703</v>
      </c>
    </row>
    <row r="39" spans="1:8" x14ac:dyDescent="0.2">
      <c r="A39" s="1" t="s">
        <v>697</v>
      </c>
    </row>
    <row r="41" spans="1:8" x14ac:dyDescent="0.2">
      <c r="C41" s="1" t="s">
        <v>699</v>
      </c>
      <c r="F41" s="101">
        <f>9964*36</f>
        <v>358704</v>
      </c>
      <c r="H41" s="1" t="s">
        <v>700</v>
      </c>
    </row>
    <row r="42" spans="1:8" x14ac:dyDescent="0.2">
      <c r="C42" s="1" t="s">
        <v>698</v>
      </c>
      <c r="F42" s="101">
        <f>E34</f>
        <v>300000</v>
      </c>
    </row>
    <row r="43" spans="1:8" x14ac:dyDescent="0.2">
      <c r="C43" s="1" t="s">
        <v>701</v>
      </c>
      <c r="F43" s="102">
        <f>F41-F42</f>
        <v>58704</v>
      </c>
      <c r="H43" s="1" t="s">
        <v>702</v>
      </c>
    </row>
    <row r="44" spans="1:8" ht="17" thickBot="1" x14ac:dyDescent="0.25"/>
    <row r="45" spans="1:8" x14ac:dyDescent="0.2">
      <c r="A45" s="30" t="s">
        <v>704</v>
      </c>
      <c r="B45" s="31"/>
      <c r="C45" s="31"/>
      <c r="D45" s="31"/>
      <c r="E45" s="31"/>
      <c r="F45" s="31"/>
      <c r="G45" s="31"/>
      <c r="H45" s="23"/>
    </row>
    <row r="46" spans="1:8" x14ac:dyDescent="0.2">
      <c r="A46" s="24" t="s">
        <v>705</v>
      </c>
      <c r="H46" s="25"/>
    </row>
    <row r="47" spans="1:8" ht="17" thickBot="1" x14ac:dyDescent="0.25">
      <c r="A47" s="26" t="s">
        <v>706</v>
      </c>
      <c r="B47" s="27"/>
      <c r="C47" s="27"/>
      <c r="D47" s="27"/>
      <c r="E47" s="27"/>
      <c r="F47" s="27"/>
      <c r="G47" s="27"/>
      <c r="H47" s="28"/>
    </row>
    <row r="49" spans="1:8" x14ac:dyDescent="0.2">
      <c r="A49" s="100" t="s">
        <v>707</v>
      </c>
      <c r="B49" s="100"/>
      <c r="C49" s="100"/>
      <c r="D49" s="100"/>
      <c r="E49" s="100"/>
      <c r="F49" s="100"/>
      <c r="G49" s="100"/>
      <c r="H49" s="100"/>
    </row>
    <row r="50" spans="1:8" x14ac:dyDescent="0.2">
      <c r="A50" s="1" t="s">
        <v>708</v>
      </c>
    </row>
    <row r="51" spans="1:8" x14ac:dyDescent="0.2">
      <c r="A51" s="1" t="s">
        <v>709</v>
      </c>
    </row>
    <row r="52" spans="1:8" x14ac:dyDescent="0.2">
      <c r="A52" s="1" t="s">
        <v>710</v>
      </c>
    </row>
    <row r="53" spans="1:8" x14ac:dyDescent="0.2">
      <c r="A53" s="1" t="s">
        <v>711</v>
      </c>
    </row>
    <row r="55" spans="1:8" x14ac:dyDescent="0.2">
      <c r="A55" s="1" t="s">
        <v>712</v>
      </c>
      <c r="E55" s="1" t="s">
        <v>717</v>
      </c>
      <c r="G55" s="1" t="s">
        <v>715</v>
      </c>
    </row>
    <row r="57" spans="1:8" x14ac:dyDescent="0.2">
      <c r="E57" s="12" t="s">
        <v>179</v>
      </c>
      <c r="F57" s="1" t="s">
        <v>178</v>
      </c>
    </row>
    <row r="58" spans="1:8" x14ac:dyDescent="0.2">
      <c r="A58" s="1" t="s">
        <v>713</v>
      </c>
      <c r="E58" s="12">
        <f>4*12</f>
        <v>48</v>
      </c>
      <c r="F58" s="1" t="s">
        <v>45</v>
      </c>
    </row>
    <row r="59" spans="1:8" x14ac:dyDescent="0.2">
      <c r="A59" s="1" t="s">
        <v>714</v>
      </c>
      <c r="E59" s="12">
        <v>1</v>
      </c>
      <c r="F59" s="1" t="s">
        <v>42</v>
      </c>
    </row>
    <row r="60" spans="1:8" x14ac:dyDescent="0.2">
      <c r="A60" s="1" t="s">
        <v>694</v>
      </c>
      <c r="E60" s="12">
        <v>1000000</v>
      </c>
      <c r="F60" s="1" t="s">
        <v>39</v>
      </c>
    </row>
    <row r="61" spans="1:8" x14ac:dyDescent="0.2">
      <c r="A61" s="1" t="s">
        <v>695</v>
      </c>
      <c r="E61" s="42">
        <f>PMT(E59/100,E58,E60,E62)</f>
        <v>-21433.684802349435</v>
      </c>
      <c r="F61" s="1" t="s">
        <v>47</v>
      </c>
      <c r="G61" s="1" t="s">
        <v>51</v>
      </c>
    </row>
    <row r="62" spans="1:8" x14ac:dyDescent="0.2">
      <c r="A62" s="1" t="s">
        <v>716</v>
      </c>
      <c r="E62" s="12">
        <v>-300000</v>
      </c>
      <c r="F62" s="1" t="s">
        <v>50</v>
      </c>
    </row>
    <row r="64" spans="1:8" x14ac:dyDescent="0.2">
      <c r="A64" s="100" t="s">
        <v>718</v>
      </c>
      <c r="B64" s="100"/>
      <c r="C64" s="100"/>
      <c r="D64" s="100"/>
      <c r="E64" s="100"/>
      <c r="F64" s="100"/>
      <c r="G64" s="100"/>
      <c r="H64" s="100"/>
    </row>
    <row r="65" spans="1:7" x14ac:dyDescent="0.2">
      <c r="A65" s="1" t="s">
        <v>719</v>
      </c>
    </row>
    <row r="66" spans="1:7" x14ac:dyDescent="0.2">
      <c r="A66" s="1" t="s">
        <v>720</v>
      </c>
    </row>
    <row r="67" spans="1:7" x14ac:dyDescent="0.2">
      <c r="A67" s="1" t="s">
        <v>721</v>
      </c>
    </row>
    <row r="68" spans="1:7" x14ac:dyDescent="0.2">
      <c r="A68" s="1" t="s">
        <v>722</v>
      </c>
    </row>
    <row r="70" spans="1:7" x14ac:dyDescent="0.2">
      <c r="A70" s="1" t="s">
        <v>723</v>
      </c>
    </row>
    <row r="71" spans="1:7" x14ac:dyDescent="0.2">
      <c r="A71" s="1" t="s">
        <v>724</v>
      </c>
    </row>
    <row r="72" spans="1:7" x14ac:dyDescent="0.2">
      <c r="A72" s="1" t="s">
        <v>725</v>
      </c>
    </row>
    <row r="74" spans="1:7" x14ac:dyDescent="0.2">
      <c r="A74" s="1" t="s">
        <v>27</v>
      </c>
    </row>
    <row r="76" spans="1:7" x14ac:dyDescent="0.2">
      <c r="A76" s="81" t="s">
        <v>724</v>
      </c>
      <c r="G76" s="1" t="s">
        <v>743</v>
      </c>
    </row>
    <row r="77" spans="1:7" x14ac:dyDescent="0.2">
      <c r="E77" s="12" t="s">
        <v>179</v>
      </c>
      <c r="F77" s="1" t="s">
        <v>178</v>
      </c>
    </row>
    <row r="78" spans="1:7" x14ac:dyDescent="0.2">
      <c r="E78" s="12">
        <f>3*12</f>
        <v>36</v>
      </c>
      <c r="F78" s="1" t="s">
        <v>45</v>
      </c>
    </row>
    <row r="79" spans="1:7" x14ac:dyDescent="0.2">
      <c r="E79" s="12">
        <v>0.94889999999999997</v>
      </c>
      <c r="F79" s="1" t="s">
        <v>42</v>
      </c>
    </row>
    <row r="80" spans="1:7" x14ac:dyDescent="0.2">
      <c r="E80" s="12">
        <v>30000</v>
      </c>
      <c r="F80" s="1" t="s">
        <v>39</v>
      </c>
    </row>
    <row r="81" spans="3:7" x14ac:dyDescent="0.2">
      <c r="E81" s="83">
        <f>PMT(E79/100,E78,E80,E82)</f>
        <v>-987.66585807718332</v>
      </c>
      <c r="F81" s="1" t="s">
        <v>47</v>
      </c>
      <c r="G81" s="1" t="s">
        <v>51</v>
      </c>
    </row>
    <row r="82" spans="3:7" x14ac:dyDescent="0.2">
      <c r="E82" s="12">
        <v>0</v>
      </c>
      <c r="F82" s="1" t="s">
        <v>50</v>
      </c>
    </row>
    <row r="85" spans="3:7" x14ac:dyDescent="0.2">
      <c r="D85" s="1" t="s">
        <v>726</v>
      </c>
    </row>
    <row r="86" spans="3:7" x14ac:dyDescent="0.2">
      <c r="D86" s="1" t="s">
        <v>727</v>
      </c>
    </row>
    <row r="87" spans="3:7" x14ac:dyDescent="0.2">
      <c r="D87" s="1" t="s">
        <v>728</v>
      </c>
    </row>
    <row r="88" spans="3:7" x14ac:dyDescent="0.2">
      <c r="D88" s="1" t="s">
        <v>729</v>
      </c>
    </row>
    <row r="89" spans="3:7" x14ac:dyDescent="0.2">
      <c r="D89" s="1" t="s">
        <v>730</v>
      </c>
    </row>
    <row r="90" spans="3:7" x14ac:dyDescent="0.2">
      <c r="D90" s="1" t="s">
        <v>731</v>
      </c>
    </row>
    <row r="91" spans="3:7" x14ac:dyDescent="0.2">
      <c r="D91" s="1" t="s">
        <v>732</v>
      </c>
    </row>
    <row r="95" spans="3:7" x14ac:dyDescent="0.2">
      <c r="F95" s="1" t="s">
        <v>733</v>
      </c>
    </row>
    <row r="96" spans="3:7" x14ac:dyDescent="0.2">
      <c r="C96" s="1" t="s">
        <v>736</v>
      </c>
      <c r="F96" s="1" t="s">
        <v>734</v>
      </c>
    </row>
    <row r="97" spans="1:7" x14ac:dyDescent="0.2">
      <c r="C97" s="1" t="s">
        <v>737</v>
      </c>
    </row>
    <row r="98" spans="1:7" x14ac:dyDescent="0.2">
      <c r="C98" s="1" t="s">
        <v>738</v>
      </c>
      <c r="E98" s="1" t="s">
        <v>735</v>
      </c>
    </row>
    <row r="99" spans="1:7" x14ac:dyDescent="0.2">
      <c r="C99" s="1" t="s">
        <v>739</v>
      </c>
    </row>
    <row r="101" spans="1:7" x14ac:dyDescent="0.2">
      <c r="A101" s="1" t="s">
        <v>740</v>
      </c>
    </row>
    <row r="103" spans="1:7" x14ac:dyDescent="0.2">
      <c r="D103" s="103">
        <f>(1+12%)^(1/12)-1</f>
        <v>9.4887929345830457E-3</v>
      </c>
    </row>
    <row r="105" spans="1:7" x14ac:dyDescent="0.2">
      <c r="A105" s="1" t="s">
        <v>515</v>
      </c>
      <c r="F105" s="1" t="s">
        <v>741</v>
      </c>
    </row>
    <row r="106" spans="1:7" x14ac:dyDescent="0.2">
      <c r="F106" s="1" t="s">
        <v>742</v>
      </c>
    </row>
    <row r="108" spans="1:7" x14ac:dyDescent="0.2">
      <c r="A108" s="81" t="s">
        <v>748</v>
      </c>
      <c r="G108" s="1" t="s">
        <v>750</v>
      </c>
    </row>
    <row r="109" spans="1:7" x14ac:dyDescent="0.2">
      <c r="E109" s="12" t="s">
        <v>179</v>
      </c>
      <c r="F109" s="1" t="s">
        <v>178</v>
      </c>
    </row>
    <row r="110" spans="1:7" x14ac:dyDescent="0.2">
      <c r="E110" s="12">
        <f>3*12</f>
        <v>36</v>
      </c>
      <c r="F110" s="1" t="s">
        <v>45</v>
      </c>
    </row>
    <row r="111" spans="1:7" x14ac:dyDescent="0.2">
      <c r="E111" s="12">
        <v>1</v>
      </c>
      <c r="F111" s="1" t="s">
        <v>42</v>
      </c>
    </row>
    <row r="112" spans="1:7" x14ac:dyDescent="0.2">
      <c r="E112" s="73">
        <v>30000</v>
      </c>
      <c r="F112" s="1" t="s">
        <v>39</v>
      </c>
    </row>
    <row r="113" spans="1:8" x14ac:dyDescent="0.2">
      <c r="E113" s="83">
        <f>PMT(E111/100,E110,E112,E114)</f>
        <v>-996.42929438553574</v>
      </c>
      <c r="F113" s="1" t="s">
        <v>47</v>
      </c>
      <c r="G113" s="1" t="s">
        <v>51</v>
      </c>
    </row>
    <row r="114" spans="1:8" x14ac:dyDescent="0.2">
      <c r="E114" s="12">
        <v>0</v>
      </c>
      <c r="F114" s="1" t="s">
        <v>50</v>
      </c>
    </row>
    <row r="117" spans="1:8" x14ac:dyDescent="0.2">
      <c r="D117" s="1" t="s">
        <v>744</v>
      </c>
    </row>
    <row r="118" spans="1:8" x14ac:dyDescent="0.2">
      <c r="D118" s="1" t="s">
        <v>749</v>
      </c>
    </row>
    <row r="119" spans="1:8" x14ac:dyDescent="0.2">
      <c r="D119" s="1" t="s">
        <v>745</v>
      </c>
    </row>
    <row r="120" spans="1:8" x14ac:dyDescent="0.2">
      <c r="D120" s="1" t="s">
        <v>746</v>
      </c>
    </row>
    <row r="121" spans="1:8" x14ac:dyDescent="0.2">
      <c r="F121" s="1" t="s">
        <v>747</v>
      </c>
    </row>
    <row r="123" spans="1:8" x14ac:dyDescent="0.2">
      <c r="A123" s="100" t="s">
        <v>751</v>
      </c>
      <c r="B123" s="100"/>
      <c r="C123" s="100"/>
      <c r="D123" s="100"/>
      <c r="E123" s="100"/>
      <c r="F123" s="100"/>
      <c r="G123" s="100"/>
      <c r="H123" s="100"/>
    </row>
    <row r="125" spans="1:8" x14ac:dyDescent="0.2">
      <c r="D125" s="1" t="s">
        <v>752</v>
      </c>
    </row>
    <row r="126" spans="1:8" x14ac:dyDescent="0.2">
      <c r="D126" s="1" t="s">
        <v>753</v>
      </c>
    </row>
    <row r="127" spans="1:8" x14ac:dyDescent="0.2">
      <c r="D127" s="1" t="s">
        <v>754</v>
      </c>
    </row>
    <row r="134" spans="4:7" x14ac:dyDescent="0.2">
      <c r="D134" s="1" t="s">
        <v>755</v>
      </c>
      <c r="G134" s="1" t="s">
        <v>177</v>
      </c>
    </row>
    <row r="135" spans="4:7" x14ac:dyDescent="0.2">
      <c r="F135" s="12" t="s">
        <v>179</v>
      </c>
      <c r="G135" s="1" t="s">
        <v>178</v>
      </c>
    </row>
    <row r="136" spans="4:7" x14ac:dyDescent="0.2">
      <c r="F136" s="12">
        <v>36</v>
      </c>
      <c r="G136" s="1" t="s">
        <v>45</v>
      </c>
    </row>
    <row r="137" spans="4:7" ht="17" thickBot="1" x14ac:dyDescent="0.25">
      <c r="F137" s="104">
        <f>RATE(F136,F139,F138,F140)</f>
        <v>1.5430128008203127E-4</v>
      </c>
      <c r="G137" s="1" t="s">
        <v>42</v>
      </c>
    </row>
    <row r="138" spans="4:7" ht="17" thickBot="1" x14ac:dyDescent="0.25">
      <c r="D138" s="106" t="s">
        <v>765</v>
      </c>
      <c r="E138" s="6"/>
      <c r="F138" s="107">
        <v>7000</v>
      </c>
      <c r="G138" s="7" t="s">
        <v>39</v>
      </c>
    </row>
    <row r="139" spans="4:7" x14ac:dyDescent="0.2">
      <c r="F139" s="12">
        <v>-195</v>
      </c>
      <c r="G139" s="1" t="s">
        <v>47</v>
      </c>
    </row>
    <row r="140" spans="4:7" x14ac:dyDescent="0.2">
      <c r="F140" s="12">
        <v>0</v>
      </c>
      <c r="G140" s="1" t="s">
        <v>50</v>
      </c>
    </row>
    <row r="142" spans="4:7" x14ac:dyDescent="0.2">
      <c r="D142" s="1" t="s">
        <v>756</v>
      </c>
      <c r="G142" s="1" t="s">
        <v>177</v>
      </c>
    </row>
    <row r="143" spans="4:7" x14ac:dyDescent="0.2">
      <c r="F143" s="12" t="s">
        <v>179</v>
      </c>
      <c r="G143" s="1" t="s">
        <v>178</v>
      </c>
    </row>
    <row r="144" spans="4:7" x14ac:dyDescent="0.2">
      <c r="F144" s="12">
        <v>36</v>
      </c>
      <c r="G144" s="1" t="s">
        <v>45</v>
      </c>
    </row>
    <row r="145" spans="1:8" ht="17" thickBot="1" x14ac:dyDescent="0.25">
      <c r="F145" s="104">
        <f>RATE(F144,F147,F146,F148)</f>
        <v>1.2765291363633311E-2</v>
      </c>
      <c r="G145" s="1" t="s">
        <v>42</v>
      </c>
    </row>
    <row r="146" spans="1:8" ht="17" thickBot="1" x14ac:dyDescent="0.25">
      <c r="D146" s="106" t="s">
        <v>766</v>
      </c>
      <c r="E146" s="6"/>
      <c r="F146" s="107">
        <v>5600</v>
      </c>
      <c r="G146" s="7" t="s">
        <v>39</v>
      </c>
    </row>
    <row r="147" spans="1:8" x14ac:dyDescent="0.2">
      <c r="F147" s="12">
        <v>-195</v>
      </c>
      <c r="G147" s="1" t="s">
        <v>47</v>
      </c>
    </row>
    <row r="148" spans="1:8" x14ac:dyDescent="0.2">
      <c r="F148" s="12">
        <v>0</v>
      </c>
      <c r="G148" s="1" t="s">
        <v>50</v>
      </c>
    </row>
    <row r="150" spans="1:8" x14ac:dyDescent="0.2">
      <c r="A150" s="1" t="s">
        <v>757</v>
      </c>
    </row>
    <row r="151" spans="1:8" x14ac:dyDescent="0.2">
      <c r="A151" s="1" t="s">
        <v>758</v>
      </c>
    </row>
    <row r="152" spans="1:8" x14ac:dyDescent="0.2">
      <c r="D152" s="105">
        <f>(1+F145)^12-1</f>
        <v>0.1644094190907428</v>
      </c>
      <c r="F152" s="1" t="s">
        <v>759</v>
      </c>
    </row>
    <row r="154" spans="1:8" x14ac:dyDescent="0.2">
      <c r="A154" s="2" t="s">
        <v>760</v>
      </c>
    </row>
    <row r="155" spans="1:8" x14ac:dyDescent="0.2">
      <c r="A155" s="1" t="s">
        <v>761</v>
      </c>
    </row>
    <row r="156" spans="1:8" x14ac:dyDescent="0.2">
      <c r="A156" s="1" t="s">
        <v>762</v>
      </c>
    </row>
    <row r="157" spans="1:8" x14ac:dyDescent="0.2">
      <c r="A157" s="1" t="s">
        <v>763</v>
      </c>
    </row>
    <row r="158" spans="1:8" x14ac:dyDescent="0.2">
      <c r="A158" s="1" t="s">
        <v>764</v>
      </c>
    </row>
    <row r="160" spans="1:8" x14ac:dyDescent="0.2">
      <c r="A160" s="100" t="s">
        <v>767</v>
      </c>
      <c r="B160" s="100"/>
      <c r="C160" s="100"/>
      <c r="D160" s="100"/>
      <c r="E160" s="100"/>
      <c r="F160" s="100"/>
      <c r="G160" s="100"/>
      <c r="H160" s="100"/>
    </row>
    <row r="161" spans="1:7" x14ac:dyDescent="0.2">
      <c r="A161" s="1" t="s">
        <v>768</v>
      </c>
    </row>
    <row r="162" spans="1:7" x14ac:dyDescent="0.2">
      <c r="A162" s="1" t="s">
        <v>769</v>
      </c>
    </row>
    <row r="163" spans="1:7" x14ac:dyDescent="0.2">
      <c r="A163" s="1" t="s">
        <v>770</v>
      </c>
    </row>
    <row r="164" spans="1:7" x14ac:dyDescent="0.2">
      <c r="A164" s="1" t="s">
        <v>782</v>
      </c>
    </row>
    <row r="166" spans="1:7" x14ac:dyDescent="0.2">
      <c r="E166" s="12"/>
      <c r="F166" s="1" t="s">
        <v>177</v>
      </c>
    </row>
    <row r="167" spans="1:7" x14ac:dyDescent="0.2">
      <c r="E167" s="12" t="s">
        <v>179</v>
      </c>
      <c r="F167" s="1" t="s">
        <v>178</v>
      </c>
    </row>
    <row r="168" spans="1:7" x14ac:dyDescent="0.2">
      <c r="A168" s="1" t="s">
        <v>771</v>
      </c>
      <c r="E168" s="12">
        <v>60</v>
      </c>
      <c r="F168" s="1" t="s">
        <v>45</v>
      </c>
    </row>
    <row r="169" spans="1:7" x14ac:dyDescent="0.2">
      <c r="A169" s="1" t="s">
        <v>781</v>
      </c>
      <c r="E169" s="108">
        <f>RATE(E168,E171,E170,E172)</f>
        <v>3.521358599279279E-3</v>
      </c>
      <c r="F169" s="1" t="s">
        <v>42</v>
      </c>
      <c r="G169" s="1" t="s">
        <v>51</v>
      </c>
    </row>
    <row r="170" spans="1:7" x14ac:dyDescent="0.2">
      <c r="A170" s="1" t="s">
        <v>772</v>
      </c>
      <c r="E170" s="12">
        <v>540000</v>
      </c>
      <c r="F170" s="1" t="s">
        <v>39</v>
      </c>
    </row>
    <row r="171" spans="1:7" x14ac:dyDescent="0.2">
      <c r="A171" s="1" t="s">
        <v>560</v>
      </c>
      <c r="E171" s="12">
        <v>-10000</v>
      </c>
      <c r="F171" s="1" t="s">
        <v>47</v>
      </c>
    </row>
    <row r="172" spans="1:7" x14ac:dyDescent="0.2">
      <c r="A172" s="1" t="s">
        <v>773</v>
      </c>
      <c r="E172" s="12">
        <v>0</v>
      </c>
      <c r="F172" s="1" t="s">
        <v>50</v>
      </c>
    </row>
    <row r="176" spans="1:7" x14ac:dyDescent="0.2">
      <c r="D176" s="1" t="s">
        <v>774</v>
      </c>
    </row>
    <row r="177" spans="1:8" x14ac:dyDescent="0.2">
      <c r="D177" s="1" t="s">
        <v>775</v>
      </c>
    </row>
    <row r="178" spans="1:8" x14ac:dyDescent="0.2">
      <c r="D178" s="1" t="s">
        <v>776</v>
      </c>
    </row>
    <row r="179" spans="1:8" x14ac:dyDescent="0.2">
      <c r="D179" s="1" t="s">
        <v>777</v>
      </c>
    </row>
    <row r="180" spans="1:8" x14ac:dyDescent="0.2">
      <c r="D180" s="1" t="s">
        <v>778</v>
      </c>
      <c r="G180" s="1" t="s">
        <v>779</v>
      </c>
    </row>
    <row r="181" spans="1:8" x14ac:dyDescent="0.2">
      <c r="D181" s="1" t="s">
        <v>780</v>
      </c>
    </row>
    <row r="183" spans="1:8" ht="17" thickBot="1" x14ac:dyDescent="0.25">
      <c r="D183" s="1" t="s">
        <v>783</v>
      </c>
    </row>
    <row r="184" spans="1:8" ht="17" thickBot="1" x14ac:dyDescent="0.25">
      <c r="A184" s="106" t="s">
        <v>785</v>
      </c>
      <c r="B184" s="6"/>
      <c r="C184" s="6"/>
      <c r="D184" s="109">
        <f>(1+E169)^12-1</f>
        <v>4.3084383754335986E-2</v>
      </c>
      <c r="F184" s="1" t="s">
        <v>784</v>
      </c>
    </row>
    <row r="187" spans="1:8" x14ac:dyDescent="0.2">
      <c r="F187" s="1" t="s">
        <v>786</v>
      </c>
    </row>
    <row r="189" spans="1:8" x14ac:dyDescent="0.2">
      <c r="E189" s="1" t="s">
        <v>787</v>
      </c>
    </row>
    <row r="191" spans="1:8" x14ac:dyDescent="0.2">
      <c r="A191" s="100" t="s">
        <v>788</v>
      </c>
      <c r="B191" s="100"/>
      <c r="C191" s="100"/>
      <c r="D191" s="100"/>
      <c r="E191" s="100"/>
      <c r="F191" s="100"/>
      <c r="G191" s="100"/>
      <c r="H191" s="100"/>
    </row>
    <row r="193" spans="1:7" x14ac:dyDescent="0.2">
      <c r="A193" s="1" t="s">
        <v>789</v>
      </c>
    </row>
    <row r="194" spans="1:7" x14ac:dyDescent="0.2">
      <c r="A194" s="1" t="s">
        <v>790</v>
      </c>
    </row>
    <row r="195" spans="1:7" x14ac:dyDescent="0.2">
      <c r="A195" s="1" t="s">
        <v>791</v>
      </c>
    </row>
    <row r="196" spans="1:7" x14ac:dyDescent="0.2">
      <c r="A196" s="1" t="s">
        <v>792</v>
      </c>
    </row>
    <row r="197" spans="1:7" x14ac:dyDescent="0.2">
      <c r="A197" s="1" t="s">
        <v>793</v>
      </c>
    </row>
    <row r="198" spans="1:7" x14ac:dyDescent="0.2">
      <c r="A198" s="1" t="s">
        <v>794</v>
      </c>
    </row>
    <row r="199" spans="1:7" x14ac:dyDescent="0.2">
      <c r="A199" s="1" t="s">
        <v>795</v>
      </c>
    </row>
    <row r="201" spans="1:7" x14ac:dyDescent="0.2">
      <c r="A201" s="1" t="s">
        <v>796</v>
      </c>
    </row>
    <row r="203" spans="1:7" x14ac:dyDescent="0.2">
      <c r="E203" s="12"/>
      <c r="F203" s="1" t="s">
        <v>177</v>
      </c>
    </row>
    <row r="204" spans="1:7" x14ac:dyDescent="0.2">
      <c r="E204" s="12" t="s">
        <v>179</v>
      </c>
      <c r="F204" s="1" t="s">
        <v>178</v>
      </c>
    </row>
    <row r="205" spans="1:7" x14ac:dyDescent="0.2">
      <c r="E205" s="12">
        <v>10</v>
      </c>
      <c r="F205" s="1" t="s">
        <v>45</v>
      </c>
    </row>
    <row r="206" spans="1:7" x14ac:dyDescent="0.2">
      <c r="A206" s="1" t="s">
        <v>798</v>
      </c>
      <c r="E206" s="108">
        <f>RATE(E205,E208,E207,E209)</f>
        <v>9.4364540078863898E-3</v>
      </c>
      <c r="F206" s="1" t="s">
        <v>42</v>
      </c>
      <c r="G206" s="1" t="s">
        <v>51</v>
      </c>
    </row>
    <row r="207" spans="1:7" x14ac:dyDescent="0.2">
      <c r="D207" s="110" t="s">
        <v>797</v>
      </c>
      <c r="E207" s="12">
        <f>500000*0.95</f>
        <v>475000</v>
      </c>
      <c r="F207" s="1" t="s">
        <v>39</v>
      </c>
    </row>
    <row r="208" spans="1:7" x14ac:dyDescent="0.2">
      <c r="E208" s="12">
        <v>-50000</v>
      </c>
      <c r="F208" s="1" t="s">
        <v>47</v>
      </c>
    </row>
    <row r="209" spans="1:8" x14ac:dyDescent="0.2">
      <c r="E209" s="12">
        <v>0</v>
      </c>
      <c r="F209" s="1" t="s">
        <v>50</v>
      </c>
    </row>
    <row r="211" spans="1:8" x14ac:dyDescent="0.2">
      <c r="A211" s="1" t="s">
        <v>799</v>
      </c>
    </row>
    <row r="213" spans="1:8" x14ac:dyDescent="0.2">
      <c r="C213" s="111">
        <f>(1+E206)^4-1</f>
        <v>3.8283465085318324E-2</v>
      </c>
      <c r="E213" s="1" t="s">
        <v>800</v>
      </c>
    </row>
    <row r="216" spans="1:8" x14ac:dyDescent="0.2">
      <c r="C216" s="1" t="s">
        <v>803</v>
      </c>
      <c r="E216" s="1" t="s">
        <v>801</v>
      </c>
    </row>
    <row r="217" spans="1:8" x14ac:dyDescent="0.2">
      <c r="C217" s="1" t="s">
        <v>804</v>
      </c>
      <c r="E217" s="1" t="s">
        <v>802</v>
      </c>
    </row>
    <row r="218" spans="1:8" x14ac:dyDescent="0.2">
      <c r="C218" s="1" t="s">
        <v>805</v>
      </c>
    </row>
    <row r="220" spans="1:8" x14ac:dyDescent="0.2">
      <c r="A220" s="100" t="s">
        <v>806</v>
      </c>
      <c r="B220" s="100"/>
      <c r="C220" s="100"/>
      <c r="D220" s="100"/>
      <c r="E220" s="100"/>
      <c r="F220" s="100"/>
      <c r="G220" s="100"/>
      <c r="H220" s="100"/>
    </row>
    <row r="221" spans="1:8" x14ac:dyDescent="0.2">
      <c r="A221" s="1" t="s">
        <v>807</v>
      </c>
    </row>
    <row r="222" spans="1:8" x14ac:dyDescent="0.2">
      <c r="A222" s="1" t="s">
        <v>808</v>
      </c>
    </row>
    <row r="223" spans="1:8" x14ac:dyDescent="0.2">
      <c r="A223" s="1" t="s">
        <v>809</v>
      </c>
    </row>
    <row r="224" spans="1:8" x14ac:dyDescent="0.2">
      <c r="A224" s="1" t="s">
        <v>810</v>
      </c>
    </row>
    <row r="225" spans="1:8" x14ac:dyDescent="0.2">
      <c r="A225" s="1" t="s">
        <v>811</v>
      </c>
    </row>
    <row r="226" spans="1:8" x14ac:dyDescent="0.2">
      <c r="A226" s="1" t="s">
        <v>812</v>
      </c>
    </row>
    <row r="228" spans="1:8" x14ac:dyDescent="0.2">
      <c r="A228" s="1" t="s">
        <v>813</v>
      </c>
    </row>
    <row r="230" spans="1:8" x14ac:dyDescent="0.2">
      <c r="B230" s="12" t="s">
        <v>291</v>
      </c>
      <c r="C230" s="1" t="s">
        <v>177</v>
      </c>
      <c r="F230" s="12" t="s">
        <v>290</v>
      </c>
      <c r="G230" s="1" t="s">
        <v>177</v>
      </c>
    </row>
    <row r="231" spans="1:8" x14ac:dyDescent="0.2">
      <c r="B231" s="12" t="s">
        <v>179</v>
      </c>
      <c r="C231" s="1" t="s">
        <v>178</v>
      </c>
      <c r="F231" s="12" t="s">
        <v>179</v>
      </c>
      <c r="G231" s="1" t="s">
        <v>178</v>
      </c>
    </row>
    <row r="232" spans="1:8" x14ac:dyDescent="0.2">
      <c r="B232" s="12">
        <v>20</v>
      </c>
      <c r="C232" s="1" t="s">
        <v>45</v>
      </c>
      <c r="F232" s="12">
        <v>10</v>
      </c>
      <c r="G232" s="1" t="s">
        <v>45</v>
      </c>
    </row>
    <row r="233" spans="1:8" x14ac:dyDescent="0.2">
      <c r="B233" s="108">
        <f>RATE(B232,B235,B234,B236)</f>
        <v>1.1971635038702614E-2</v>
      </c>
      <c r="C233" s="1" t="s">
        <v>42</v>
      </c>
      <c r="D233" s="1" t="s">
        <v>51</v>
      </c>
      <c r="F233" s="108">
        <f>RATE(F232,F235,F234,F236)</f>
        <v>1.5454877885589706E-2</v>
      </c>
      <c r="G233" s="1" t="s">
        <v>42</v>
      </c>
      <c r="H233" s="1" t="s">
        <v>51</v>
      </c>
    </row>
    <row r="234" spans="1:8" x14ac:dyDescent="0.2">
      <c r="B234" s="12">
        <v>460000</v>
      </c>
      <c r="C234" s="1" t="s">
        <v>39</v>
      </c>
      <c r="F234" s="12">
        <v>460000</v>
      </c>
      <c r="G234" s="1" t="s">
        <v>39</v>
      </c>
    </row>
    <row r="235" spans="1:8" x14ac:dyDescent="0.2">
      <c r="B235" s="12">
        <v>-26000</v>
      </c>
      <c r="C235" s="1" t="s">
        <v>47</v>
      </c>
      <c r="F235" s="12">
        <v>-50000</v>
      </c>
      <c r="G235" s="1" t="s">
        <v>47</v>
      </c>
    </row>
    <row r="236" spans="1:8" x14ac:dyDescent="0.2">
      <c r="B236" s="12">
        <v>0</v>
      </c>
      <c r="C236" s="1" t="s">
        <v>50</v>
      </c>
      <c r="F236" s="12">
        <v>0</v>
      </c>
      <c r="G236" s="1" t="s">
        <v>50</v>
      </c>
    </row>
    <row r="238" spans="1:8" x14ac:dyDescent="0.2">
      <c r="A238" s="1" t="s">
        <v>814</v>
      </c>
    </row>
    <row r="239" spans="1:8" x14ac:dyDescent="0.2">
      <c r="B239" s="112">
        <f>(1+1.19716%)^12-1</f>
        <v>0.15350609987751351</v>
      </c>
      <c r="F239" s="112">
        <f>(1+1.54549%)^12-1</f>
        <v>0.20206423307819454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F3091-E866-494E-A95A-0F19C307CC93}">
  <dimension ref="A1:J372"/>
  <sheetViews>
    <sheetView rightToLeft="1" topLeftCell="A270" zoomScale="280" workbookViewId="0">
      <selection activeCell="D338" sqref="D338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815</v>
      </c>
      <c r="B1" s="29"/>
      <c r="C1" s="29"/>
      <c r="D1" s="29"/>
      <c r="E1" s="29"/>
      <c r="F1" s="29"/>
      <c r="G1" s="29"/>
      <c r="H1" s="29"/>
    </row>
    <row r="3" spans="1:8" ht="18" x14ac:dyDescent="0.2">
      <c r="A3" s="136" t="s">
        <v>905</v>
      </c>
      <c r="B3" s="136"/>
      <c r="C3" s="136"/>
      <c r="D3" s="136"/>
      <c r="E3" s="136"/>
      <c r="F3" s="136"/>
      <c r="G3" s="136"/>
      <c r="H3" s="136"/>
    </row>
    <row r="5" spans="1:8" x14ac:dyDescent="0.2">
      <c r="A5" s="2" t="s">
        <v>816</v>
      </c>
    </row>
    <row r="14" spans="1:8" x14ac:dyDescent="0.2">
      <c r="A14" s="2" t="s">
        <v>27</v>
      </c>
    </row>
    <row r="15" spans="1:8" x14ac:dyDescent="0.2">
      <c r="A15" s="1" t="s">
        <v>817</v>
      </c>
    </row>
    <row r="16" spans="1:8" x14ac:dyDescent="0.2">
      <c r="C16" s="1" t="s">
        <v>821</v>
      </c>
      <c r="E16" s="1" t="s">
        <v>820</v>
      </c>
    </row>
    <row r="17" spans="1:8" x14ac:dyDescent="0.2">
      <c r="C17" s="1" t="s">
        <v>822</v>
      </c>
    </row>
    <row r="18" spans="1:8" x14ac:dyDescent="0.2">
      <c r="C18" s="59" t="s">
        <v>819</v>
      </c>
      <c r="D18" s="59" t="s">
        <v>316</v>
      </c>
      <c r="E18" s="59" t="s">
        <v>317</v>
      </c>
      <c r="F18" s="59" t="s">
        <v>318</v>
      </c>
    </row>
    <row r="19" spans="1:8" x14ac:dyDescent="0.2">
      <c r="C19" s="12">
        <f>8*4</f>
        <v>32</v>
      </c>
      <c r="D19" s="12">
        <f>3*2</f>
        <v>6</v>
      </c>
      <c r="E19" s="12">
        <v>4</v>
      </c>
      <c r="F19" s="18">
        <v>5</v>
      </c>
      <c r="G19" s="1" t="s">
        <v>45</v>
      </c>
    </row>
    <row r="20" spans="1:8" x14ac:dyDescent="0.2">
      <c r="C20" s="12">
        <v>1</v>
      </c>
      <c r="D20" s="12">
        <v>2</v>
      </c>
      <c r="E20" s="12">
        <v>6</v>
      </c>
      <c r="F20" s="18">
        <v>4</v>
      </c>
      <c r="G20" s="1" t="s">
        <v>42</v>
      </c>
    </row>
    <row r="21" spans="1:8" x14ac:dyDescent="0.2">
      <c r="C21" s="18">
        <f>-D23</f>
        <v>-864890.63071801665</v>
      </c>
      <c r="D21" s="18">
        <f>-E23</f>
        <v>-767998.12879856466</v>
      </c>
      <c r="E21" s="18">
        <f>-F23</f>
        <v>-608326.45120000013</v>
      </c>
      <c r="F21" s="18">
        <v>-500000</v>
      </c>
      <c r="G21" s="1" t="s">
        <v>39</v>
      </c>
    </row>
    <row r="22" spans="1:8" ht="17" thickBot="1" x14ac:dyDescent="0.25">
      <c r="C22" s="18">
        <v>0</v>
      </c>
      <c r="D22" s="18">
        <v>0</v>
      </c>
      <c r="E22" s="18">
        <v>0</v>
      </c>
      <c r="F22" s="18">
        <v>0</v>
      </c>
      <c r="G22" s="1" t="s">
        <v>47</v>
      </c>
    </row>
    <row r="23" spans="1:8" ht="17" thickBot="1" x14ac:dyDescent="0.25">
      <c r="C23" s="114">
        <f>FV(C20/100,C19,C22,C21)</f>
        <v>1189173.3106546188</v>
      </c>
      <c r="D23" s="18">
        <f>FV(D20/100,D19,D22,D21)</f>
        <v>864890.63071801665</v>
      </c>
      <c r="E23" s="18">
        <f>FV(E20/100,E19,E22,E21)</f>
        <v>767998.12879856466</v>
      </c>
      <c r="F23" s="18">
        <f>FV(F20/100,F19,F22,F21)</f>
        <v>608326.45120000013</v>
      </c>
      <c r="G23" s="1" t="s">
        <v>50</v>
      </c>
      <c r="H23" s="1" t="s">
        <v>818</v>
      </c>
    </row>
    <row r="25" spans="1:8" x14ac:dyDescent="0.2">
      <c r="A25" s="2" t="s">
        <v>823</v>
      </c>
      <c r="B25" s="2"/>
      <c r="C25" s="2"/>
      <c r="D25" s="2"/>
      <c r="E25" s="2"/>
      <c r="F25" s="115">
        <f>C23</f>
        <v>1189173.3106546188</v>
      </c>
    </row>
    <row r="34" spans="1:8" x14ac:dyDescent="0.2">
      <c r="B34" s="120" t="s">
        <v>634</v>
      </c>
      <c r="C34" s="120" t="s">
        <v>315</v>
      </c>
      <c r="D34" s="120" t="s">
        <v>837</v>
      </c>
      <c r="E34" s="120" t="s">
        <v>833</v>
      </c>
      <c r="F34" s="121" t="s">
        <v>825</v>
      </c>
    </row>
    <row r="35" spans="1:8" x14ac:dyDescent="0.2">
      <c r="B35" s="120" t="s">
        <v>838</v>
      </c>
      <c r="C35" s="120" t="s">
        <v>834</v>
      </c>
      <c r="D35" s="120" t="s">
        <v>834</v>
      </c>
      <c r="E35" s="120" t="s">
        <v>826</v>
      </c>
      <c r="F35" s="120" t="s">
        <v>824</v>
      </c>
    </row>
    <row r="36" spans="1:8" x14ac:dyDescent="0.2">
      <c r="B36" s="116" t="s">
        <v>839</v>
      </c>
      <c r="C36" s="116" t="s">
        <v>836</v>
      </c>
      <c r="D36" s="116" t="s">
        <v>835</v>
      </c>
      <c r="E36" s="116" t="s">
        <v>829</v>
      </c>
      <c r="F36" s="116" t="s">
        <v>832</v>
      </c>
    </row>
    <row r="37" spans="1:8" x14ac:dyDescent="0.2">
      <c r="B37" s="12">
        <v>4</v>
      </c>
      <c r="C37" s="12">
        <v>4</v>
      </c>
      <c r="D37" s="12">
        <v>12</v>
      </c>
      <c r="E37" s="12">
        <v>12</v>
      </c>
      <c r="F37" s="118"/>
      <c r="G37" s="1" t="s">
        <v>45</v>
      </c>
    </row>
    <row r="38" spans="1:8" x14ac:dyDescent="0.2">
      <c r="B38" s="16">
        <f>((1+10%)^0.25-1)*100</f>
        <v>2.4113689084445111</v>
      </c>
      <c r="C38" s="124">
        <v>10</v>
      </c>
      <c r="D38" s="122">
        <f>E38</f>
        <v>0.94887929345830457</v>
      </c>
      <c r="E38" s="122">
        <f>((1+12%)^(1/12)-1)*100</f>
        <v>0.94887929345830457</v>
      </c>
      <c r="F38" s="119"/>
      <c r="G38" s="1" t="s">
        <v>42</v>
      </c>
    </row>
    <row r="39" spans="1:8" x14ac:dyDescent="0.2">
      <c r="B39" s="18">
        <f>-C41</f>
        <v>-151669.27459626913</v>
      </c>
      <c r="C39" s="18">
        <f>-D41</f>
        <v>-103592.15531471149</v>
      </c>
      <c r="D39" s="18">
        <f>-E41</f>
        <v>-92492.995816706563</v>
      </c>
      <c r="E39" s="18">
        <f>-F41</f>
        <v>-60000</v>
      </c>
      <c r="F39" s="119"/>
      <c r="G39" s="1" t="s">
        <v>39</v>
      </c>
    </row>
    <row r="40" spans="1:8" x14ac:dyDescent="0.2">
      <c r="B40" s="18">
        <v>-6000</v>
      </c>
      <c r="C40" s="12">
        <v>0</v>
      </c>
      <c r="D40" s="12">
        <v>0</v>
      </c>
      <c r="E40" s="18">
        <v>-2000</v>
      </c>
      <c r="F40" s="119"/>
      <c r="G40" s="1" t="s">
        <v>47</v>
      </c>
    </row>
    <row r="41" spans="1:8" x14ac:dyDescent="0.2">
      <c r="B41" s="113">
        <f>FV(B38/100,B37,B40,B39)</f>
        <v>191718.33427128714</v>
      </c>
      <c r="C41" s="18">
        <f>FV(C38/100,C37,C40,C39)</f>
        <v>151669.27459626913</v>
      </c>
      <c r="D41" s="18">
        <f>FV(D38/100,D37,D40,D39)</f>
        <v>103592.15531471149</v>
      </c>
      <c r="E41" s="18">
        <f>FV(E38/100,E37,E40,E39)</f>
        <v>92492.995816706563</v>
      </c>
      <c r="F41" s="117">
        <f>5000*12</f>
        <v>60000</v>
      </c>
      <c r="G41" s="1" t="s">
        <v>50</v>
      </c>
      <c r="H41" s="1" t="s">
        <v>818</v>
      </c>
    </row>
    <row r="44" spans="1:8" x14ac:dyDescent="0.2">
      <c r="B44" s="1" t="s">
        <v>840</v>
      </c>
      <c r="E44" s="1" t="s">
        <v>827</v>
      </c>
    </row>
    <row r="45" spans="1:8" x14ac:dyDescent="0.2">
      <c r="B45" s="1" t="s">
        <v>841</v>
      </c>
      <c r="E45" s="1" t="s">
        <v>828</v>
      </c>
    </row>
    <row r="46" spans="1:8" x14ac:dyDescent="0.2">
      <c r="A46" s="125">
        <f>B38</f>
        <v>2.4113689084445111</v>
      </c>
      <c r="C46" s="1" t="s">
        <v>842</v>
      </c>
      <c r="E46" s="1" t="s">
        <v>830</v>
      </c>
    </row>
    <row r="47" spans="1:8" x14ac:dyDescent="0.2">
      <c r="E47" s="122">
        <f>E38</f>
        <v>0.94887929345830457</v>
      </c>
      <c r="G47" s="1" t="s">
        <v>831</v>
      </c>
    </row>
    <row r="49" spans="1:9" x14ac:dyDescent="0.2">
      <c r="A49" s="1" t="s">
        <v>843</v>
      </c>
    </row>
    <row r="57" spans="1:9" ht="17" thickBot="1" x14ac:dyDescent="0.25">
      <c r="E57" s="120" t="s">
        <v>847</v>
      </c>
      <c r="F57" s="120" t="s">
        <v>844</v>
      </c>
    </row>
    <row r="58" spans="1:9" x14ac:dyDescent="0.2">
      <c r="A58" s="21" t="s">
        <v>861</v>
      </c>
      <c r="B58" s="127"/>
      <c r="E58" s="120" t="s">
        <v>848</v>
      </c>
      <c r="F58" s="120" t="s">
        <v>845</v>
      </c>
      <c r="I58" s="1" t="s">
        <v>866</v>
      </c>
    </row>
    <row r="59" spans="1:9" x14ac:dyDescent="0.2">
      <c r="A59" s="128" t="s">
        <v>862</v>
      </c>
      <c r="B59" s="129"/>
      <c r="E59" s="116" t="s">
        <v>849</v>
      </c>
      <c r="F59" s="116" t="s">
        <v>846</v>
      </c>
      <c r="I59" s="2" t="s">
        <v>867</v>
      </c>
    </row>
    <row r="60" spans="1:9" x14ac:dyDescent="0.2">
      <c r="A60" s="128" t="s">
        <v>863</v>
      </c>
      <c r="B60" s="129"/>
      <c r="E60" s="12">
        <f>10*12</f>
        <v>120</v>
      </c>
      <c r="F60" s="12">
        <f>10*12</f>
        <v>120</v>
      </c>
      <c r="G60" s="1" t="s">
        <v>45</v>
      </c>
    </row>
    <row r="61" spans="1:9" x14ac:dyDescent="0.2">
      <c r="A61" s="128" t="s">
        <v>864</v>
      </c>
      <c r="B61" s="129"/>
      <c r="C61" s="1" t="s">
        <v>850</v>
      </c>
      <c r="E61" s="122">
        <f>F61</f>
        <v>0.94887929345830457</v>
      </c>
      <c r="F61" s="122">
        <f>((1+12%)^(1/12)-1)*100</f>
        <v>0.94887929345830457</v>
      </c>
      <c r="G61" s="1" t="s">
        <v>42</v>
      </c>
    </row>
    <row r="62" spans="1:9" ht="17" thickBot="1" x14ac:dyDescent="0.25">
      <c r="A62" s="130" t="s">
        <v>865</v>
      </c>
      <c r="B62" s="131"/>
      <c r="C62" s="1" t="s">
        <v>851</v>
      </c>
      <c r="E62" s="18">
        <f>-F64-200000</f>
        <v>-1398304.9862389127</v>
      </c>
      <c r="F62" s="18">
        <v>-100000</v>
      </c>
      <c r="G62" s="1" t="s">
        <v>39</v>
      </c>
    </row>
    <row r="63" spans="1:9" x14ac:dyDescent="0.2">
      <c r="C63" s="1" t="s">
        <v>852</v>
      </c>
      <c r="E63" s="18">
        <f>F63</f>
        <v>-4000</v>
      </c>
      <c r="F63" s="18">
        <v>-4000</v>
      </c>
      <c r="G63" s="1" t="s">
        <v>47</v>
      </c>
    </row>
    <row r="64" spans="1:9" x14ac:dyDescent="0.2">
      <c r="C64" s="1" t="s">
        <v>853</v>
      </c>
      <c r="E64" s="113">
        <f>FV(E61/100,E60,E63,E62)</f>
        <v>5230643.2016334441</v>
      </c>
      <c r="F64" s="18">
        <f>FV(F61/100,F60,F63,F62)</f>
        <v>1198304.9862389127</v>
      </c>
      <c r="G64" s="1" t="s">
        <v>50</v>
      </c>
    </row>
    <row r="65" spans="3:8" x14ac:dyDescent="0.2">
      <c r="C65" s="1" t="s">
        <v>854</v>
      </c>
    </row>
    <row r="66" spans="3:8" x14ac:dyDescent="0.2">
      <c r="C66" s="1" t="s">
        <v>855</v>
      </c>
    </row>
    <row r="67" spans="3:8" x14ac:dyDescent="0.2">
      <c r="C67" s="1" t="s">
        <v>856</v>
      </c>
    </row>
    <row r="68" spans="3:8" x14ac:dyDescent="0.2">
      <c r="E68" s="1" t="s">
        <v>857</v>
      </c>
      <c r="G68" s="89">
        <f>F64</f>
        <v>1198304.9862389127</v>
      </c>
    </row>
    <row r="69" spans="3:8" x14ac:dyDescent="0.2">
      <c r="E69" s="1" t="s">
        <v>858</v>
      </c>
      <c r="G69" s="89">
        <v>200000</v>
      </c>
    </row>
    <row r="70" spans="3:8" x14ac:dyDescent="0.2">
      <c r="E70" s="1" t="s">
        <v>859</v>
      </c>
      <c r="G70" s="126">
        <f>G68+G69</f>
        <v>1398304.9862389127</v>
      </c>
      <c r="H70" s="1" t="s">
        <v>860</v>
      </c>
    </row>
    <row r="82" spans="1:8" x14ac:dyDescent="0.2">
      <c r="B82" s="132" t="s">
        <v>870</v>
      </c>
      <c r="C82" s="132" t="s">
        <v>870</v>
      </c>
      <c r="D82" s="132" t="s">
        <v>870</v>
      </c>
      <c r="F82" s="121" t="s">
        <v>870</v>
      </c>
      <c r="G82" s="132" t="s">
        <v>876</v>
      </c>
    </row>
    <row r="84" spans="1:8" x14ac:dyDescent="0.2">
      <c r="A84" s="12">
        <v>10</v>
      </c>
      <c r="B84" s="12"/>
      <c r="C84" s="12">
        <v>7</v>
      </c>
      <c r="D84" s="12">
        <v>4</v>
      </c>
      <c r="E84" s="12">
        <v>3</v>
      </c>
      <c r="F84" s="12">
        <v>2</v>
      </c>
      <c r="G84" s="12"/>
      <c r="H84" s="12">
        <v>0</v>
      </c>
    </row>
    <row r="85" spans="1:8" x14ac:dyDescent="0.2">
      <c r="A85" s="12"/>
      <c r="B85" s="12"/>
      <c r="C85" s="12"/>
      <c r="D85" s="12"/>
      <c r="E85" s="12"/>
      <c r="F85" s="12"/>
      <c r="G85" s="12"/>
      <c r="H85" s="12"/>
    </row>
    <row r="86" spans="1:8" x14ac:dyDescent="0.2">
      <c r="A86" s="12" t="s">
        <v>869</v>
      </c>
      <c r="B86" s="12"/>
      <c r="C86" s="12">
        <v>-150000</v>
      </c>
      <c r="D86" s="12" t="s">
        <v>871</v>
      </c>
      <c r="E86" s="12">
        <v>-80000</v>
      </c>
      <c r="F86" s="12" t="s">
        <v>874</v>
      </c>
      <c r="G86" s="12"/>
      <c r="H86" s="12" t="s">
        <v>868</v>
      </c>
    </row>
    <row r="87" spans="1:8" x14ac:dyDescent="0.2">
      <c r="C87" s="12" t="s">
        <v>387</v>
      </c>
      <c r="E87" s="12" t="s">
        <v>387</v>
      </c>
      <c r="F87" s="12" t="s">
        <v>875</v>
      </c>
    </row>
    <row r="89" spans="1:8" x14ac:dyDescent="0.2">
      <c r="B89" s="120" t="s">
        <v>880</v>
      </c>
      <c r="C89" s="120" t="s">
        <v>883</v>
      </c>
      <c r="D89" s="120" t="s">
        <v>880</v>
      </c>
      <c r="E89" s="120" t="s">
        <v>879</v>
      </c>
      <c r="F89" s="120" t="s">
        <v>368</v>
      </c>
    </row>
    <row r="90" spans="1:8" x14ac:dyDescent="0.2">
      <c r="B90" s="120" t="s">
        <v>881</v>
      </c>
      <c r="C90" s="120" t="s">
        <v>884</v>
      </c>
      <c r="D90" s="120" t="s">
        <v>881</v>
      </c>
      <c r="E90" s="120" t="s">
        <v>877</v>
      </c>
      <c r="F90" s="120" t="s">
        <v>872</v>
      </c>
    </row>
    <row r="91" spans="1:8" x14ac:dyDescent="0.2">
      <c r="B91" s="133" t="s">
        <v>886</v>
      </c>
      <c r="C91" s="116" t="s">
        <v>885</v>
      </c>
      <c r="D91" s="133" t="s">
        <v>882</v>
      </c>
      <c r="E91" s="116" t="s">
        <v>878</v>
      </c>
      <c r="F91" s="116" t="s">
        <v>873</v>
      </c>
    </row>
    <row r="92" spans="1:8" x14ac:dyDescent="0.2">
      <c r="B92" s="12">
        <f>3*4</f>
        <v>12</v>
      </c>
      <c r="C92" s="12">
        <f>3*4</f>
        <v>12</v>
      </c>
      <c r="D92" s="12">
        <v>4</v>
      </c>
      <c r="E92" s="12">
        <v>4</v>
      </c>
      <c r="F92" s="12">
        <v>2</v>
      </c>
      <c r="G92" s="1" t="s">
        <v>45</v>
      </c>
    </row>
    <row r="93" spans="1:8" x14ac:dyDescent="0.2">
      <c r="B93" s="122">
        <f>C93</f>
        <v>1.4673846168659299</v>
      </c>
      <c r="C93" s="122">
        <f>((1+6%)^(1/4)-1)*100</f>
        <v>1.4673846168659299</v>
      </c>
      <c r="D93" s="122">
        <f>E93</f>
        <v>1.2272234429039353</v>
      </c>
      <c r="E93" s="122">
        <f>((1+5%)^(1/4)-1)*100</f>
        <v>1.2272234429039353</v>
      </c>
      <c r="F93" s="124">
        <v>5</v>
      </c>
      <c r="G93" s="1" t="s">
        <v>42</v>
      </c>
    </row>
    <row r="94" spans="1:8" x14ac:dyDescent="0.2">
      <c r="B94" s="18">
        <f>-C96-150000</f>
        <v>-631442.96096647531</v>
      </c>
      <c r="C94" s="18">
        <f>-D96</f>
        <v>-360509.99902371777</v>
      </c>
      <c r="D94" s="18">
        <f>-E96-80000</f>
        <v>-327821.95074327698</v>
      </c>
      <c r="E94" s="18">
        <f>-F96</f>
        <v>-220500</v>
      </c>
      <c r="F94" s="18">
        <f>-200000</f>
        <v>-200000</v>
      </c>
      <c r="G94" s="1" t="s">
        <v>39</v>
      </c>
    </row>
    <row r="95" spans="1:8" x14ac:dyDescent="0.2">
      <c r="B95" s="18">
        <f>C95</f>
        <v>-4000</v>
      </c>
      <c r="C95" s="18">
        <f>D95</f>
        <v>-4000</v>
      </c>
      <c r="D95" s="12">
        <f>E95</f>
        <v>-4000</v>
      </c>
      <c r="E95" s="12">
        <v>-4000</v>
      </c>
      <c r="F95" s="18">
        <v>0</v>
      </c>
      <c r="G95" s="1" t="s">
        <v>47</v>
      </c>
    </row>
    <row r="96" spans="1:8" x14ac:dyDescent="0.2">
      <c r="B96" s="113">
        <f>FV(B93/100,B92,B95,B94)</f>
        <v>804128.45356769045</v>
      </c>
      <c r="C96" s="18">
        <f>FV(C93/100,C92,C95,C94)</f>
        <v>481442.96096647531</v>
      </c>
      <c r="D96" s="18">
        <f>FV(D93/100,D92,D95,D94)</f>
        <v>360509.99902371777</v>
      </c>
      <c r="E96" s="18">
        <f>FV(E93/100,E92,E95,E94)</f>
        <v>247821.95074327695</v>
      </c>
      <c r="F96" s="18">
        <f>FV(F93/100,F92,F95,F94)</f>
        <v>220500</v>
      </c>
      <c r="G96" s="1" t="s">
        <v>50</v>
      </c>
    </row>
    <row r="98" spans="1:7" x14ac:dyDescent="0.2">
      <c r="A98" s="1" t="s">
        <v>887</v>
      </c>
    </row>
    <row r="108" spans="1:7" x14ac:dyDescent="0.2">
      <c r="A108" s="1" t="s">
        <v>893</v>
      </c>
      <c r="D108" s="12" t="s">
        <v>834</v>
      </c>
      <c r="E108" s="12" t="s">
        <v>890</v>
      </c>
      <c r="F108" s="12" t="s">
        <v>888</v>
      </c>
    </row>
    <row r="109" spans="1:7" x14ac:dyDescent="0.2">
      <c r="A109" s="1" t="s">
        <v>894</v>
      </c>
      <c r="D109" s="59" t="s">
        <v>892</v>
      </c>
      <c r="E109" s="59" t="s">
        <v>891</v>
      </c>
      <c r="F109" s="59" t="s">
        <v>889</v>
      </c>
    </row>
    <row r="110" spans="1:7" x14ac:dyDescent="0.2">
      <c r="A110" s="1" t="s">
        <v>895</v>
      </c>
      <c r="D110" s="12">
        <v>2</v>
      </c>
      <c r="E110" s="12">
        <v>24</v>
      </c>
      <c r="F110" s="12">
        <f>12</f>
        <v>12</v>
      </c>
      <c r="G110" s="1" t="s">
        <v>45</v>
      </c>
    </row>
    <row r="111" spans="1:7" x14ac:dyDescent="0.2">
      <c r="D111" s="124">
        <v>6</v>
      </c>
      <c r="E111" s="122">
        <f>((1+5%)^(1/12)-1)*100</f>
        <v>0.40741237836483535</v>
      </c>
      <c r="F111" s="122">
        <f>((1+5%)^(1/12)-1)*100</f>
        <v>0.40741237836483535</v>
      </c>
      <c r="G111" s="1" t="s">
        <v>42</v>
      </c>
    </row>
    <row r="112" spans="1:7" x14ac:dyDescent="0.2">
      <c r="D112" s="18">
        <f>-E114</f>
        <v>-203068.48658389831</v>
      </c>
      <c r="E112" s="18">
        <f>-F114</f>
        <v>-70090.310118389651</v>
      </c>
      <c r="F112" s="18">
        <v>-20000</v>
      </c>
      <c r="G112" s="1" t="s">
        <v>39</v>
      </c>
    </row>
    <row r="113" spans="1:8" ht="17" thickBot="1" x14ac:dyDescent="0.25">
      <c r="D113" s="18">
        <v>0</v>
      </c>
      <c r="E113" s="18">
        <v>-5000</v>
      </c>
      <c r="F113" s="18">
        <v>-4000</v>
      </c>
      <c r="G113" s="1" t="s">
        <v>47</v>
      </c>
    </row>
    <row r="114" spans="1:8" ht="17" thickBot="1" x14ac:dyDescent="0.25">
      <c r="D114" s="114">
        <f>FV(D111/100,D110,D113,D112)</f>
        <v>228167.75152566817</v>
      </c>
      <c r="E114" s="18">
        <f>FV(E111/100,E110,E113,E112)</f>
        <v>203068.48658389831</v>
      </c>
      <c r="F114" s="18">
        <f>FV(F111/100,F110,F113,F112)</f>
        <v>70090.310118389651</v>
      </c>
      <c r="G114" s="1" t="s">
        <v>50</v>
      </c>
    </row>
    <row r="122" spans="1:8" x14ac:dyDescent="0.2">
      <c r="A122" s="1" t="s">
        <v>27</v>
      </c>
    </row>
    <row r="123" spans="1:8" x14ac:dyDescent="0.2">
      <c r="A123" s="1" t="s">
        <v>896</v>
      </c>
    </row>
    <row r="124" spans="1:8" x14ac:dyDescent="0.2">
      <c r="H124" s="1" t="s">
        <v>904</v>
      </c>
    </row>
    <row r="125" spans="1:8" x14ac:dyDescent="0.2">
      <c r="F125" s="12" t="s">
        <v>888</v>
      </c>
    </row>
    <row r="126" spans="1:8" x14ac:dyDescent="0.2">
      <c r="F126" s="59" t="s">
        <v>889</v>
      </c>
    </row>
    <row r="127" spans="1:8" x14ac:dyDescent="0.2">
      <c r="F127" s="12">
        <v>12</v>
      </c>
      <c r="G127" s="1" t="s">
        <v>45</v>
      </c>
    </row>
    <row r="128" spans="1:8" x14ac:dyDescent="0.2">
      <c r="A128" s="1" t="s">
        <v>898</v>
      </c>
      <c r="E128" s="1" t="s">
        <v>897</v>
      </c>
      <c r="F128" s="134">
        <f>RATE(F127,F130,F129,F131)*100</f>
        <v>2.7599129109678158</v>
      </c>
      <c r="G128" s="1" t="s">
        <v>42</v>
      </c>
      <c r="H128" s="1" t="s">
        <v>51</v>
      </c>
    </row>
    <row r="129" spans="1:8" x14ac:dyDescent="0.2">
      <c r="A129" s="1" t="s">
        <v>899</v>
      </c>
      <c r="F129" s="18">
        <v>0</v>
      </c>
      <c r="G129" s="1" t="s">
        <v>39</v>
      </c>
    </row>
    <row r="130" spans="1:8" x14ac:dyDescent="0.2">
      <c r="A130" s="1" t="s">
        <v>900</v>
      </c>
      <c r="F130" s="18">
        <v>-1000</v>
      </c>
      <c r="G130" s="1" t="s">
        <v>47</v>
      </c>
    </row>
    <row r="131" spans="1:8" ht="17" thickBot="1" x14ac:dyDescent="0.25">
      <c r="A131" s="1" t="s">
        <v>901</v>
      </c>
      <c r="F131" s="18">
        <v>14000</v>
      </c>
      <c r="G131" s="1" t="s">
        <v>50</v>
      </c>
    </row>
    <row r="132" spans="1:8" ht="17" thickBot="1" x14ac:dyDescent="0.25">
      <c r="B132" s="135">
        <f>(1+2.7599%)^12-1</f>
        <v>0.38638571727340021</v>
      </c>
      <c r="D132" s="1" t="s">
        <v>902</v>
      </c>
    </row>
    <row r="134" spans="1:8" x14ac:dyDescent="0.2">
      <c r="A134" s="2" t="s">
        <v>903</v>
      </c>
    </row>
    <row r="137" spans="1:8" x14ac:dyDescent="0.2">
      <c r="A137" s="2" t="s">
        <v>1107</v>
      </c>
    </row>
    <row r="138" spans="1:8" ht="17" thickBot="1" x14ac:dyDescent="0.25"/>
    <row r="139" spans="1:8" ht="17" thickBot="1" x14ac:dyDescent="0.25">
      <c r="A139" s="3" t="s">
        <v>1108</v>
      </c>
      <c r="B139" s="4"/>
      <c r="C139" s="4"/>
      <c r="D139" s="4"/>
      <c r="E139" s="4"/>
      <c r="F139" s="4"/>
      <c r="G139" s="4"/>
      <c r="H139" s="5"/>
    </row>
    <row r="141" spans="1:8" x14ac:dyDescent="0.2">
      <c r="B141" s="1">
        <v>5</v>
      </c>
      <c r="C141" s="1" t="s">
        <v>45</v>
      </c>
    </row>
    <row r="142" spans="1:8" x14ac:dyDescent="0.2">
      <c r="B142" s="1">
        <v>4</v>
      </c>
      <c r="C142" s="1" t="s">
        <v>42</v>
      </c>
    </row>
    <row r="143" spans="1:8" x14ac:dyDescent="0.2">
      <c r="B143" s="1">
        <v>-12000</v>
      </c>
      <c r="C143" s="1" t="s">
        <v>39</v>
      </c>
    </row>
    <row r="144" spans="1:8" x14ac:dyDescent="0.2">
      <c r="B144" s="1">
        <v>0</v>
      </c>
      <c r="C144" s="1" t="s">
        <v>47</v>
      </c>
    </row>
    <row r="145" spans="1:8" x14ac:dyDescent="0.2">
      <c r="B145" s="148">
        <f>FV(B142/100,B141,B144,B143)</f>
        <v>14599.834828800003</v>
      </c>
      <c r="C145" s="1" t="s">
        <v>50</v>
      </c>
    </row>
    <row r="146" spans="1:8" ht="17" thickBot="1" x14ac:dyDescent="0.25"/>
    <row r="147" spans="1:8" ht="17" thickBot="1" x14ac:dyDescent="0.25">
      <c r="A147" s="3" t="s">
        <v>1109</v>
      </c>
      <c r="B147" s="4"/>
      <c r="C147" s="4"/>
      <c r="D147" s="4"/>
      <c r="E147" s="4"/>
      <c r="F147" s="4"/>
      <c r="G147" s="4"/>
      <c r="H147" s="5"/>
    </row>
    <row r="149" spans="1:8" x14ac:dyDescent="0.2">
      <c r="B149" s="1">
        <f>8*12</f>
        <v>96</v>
      </c>
      <c r="C149" s="1" t="s">
        <v>45</v>
      </c>
    </row>
    <row r="150" spans="1:8" x14ac:dyDescent="0.2">
      <c r="B150" s="1">
        <v>0.4</v>
      </c>
      <c r="C150" s="1" t="s">
        <v>42</v>
      </c>
    </row>
    <row r="151" spans="1:8" x14ac:dyDescent="0.2">
      <c r="B151" s="1">
        <v>-14000</v>
      </c>
      <c r="C151" s="1" t="s">
        <v>39</v>
      </c>
    </row>
    <row r="152" spans="1:8" x14ac:dyDescent="0.2">
      <c r="B152" s="1">
        <v>0</v>
      </c>
      <c r="C152" s="1" t="s">
        <v>47</v>
      </c>
    </row>
    <row r="153" spans="1:8" x14ac:dyDescent="0.2">
      <c r="B153" s="148">
        <f>FV(B150/100,B149,B152,B151)</f>
        <v>20538.298680447399</v>
      </c>
      <c r="C153" s="1" t="s">
        <v>50</v>
      </c>
    </row>
    <row r="154" spans="1:8" ht="17" thickBot="1" x14ac:dyDescent="0.25"/>
    <row r="155" spans="1:8" ht="17" thickBot="1" x14ac:dyDescent="0.25">
      <c r="A155" s="3" t="s">
        <v>1110</v>
      </c>
      <c r="B155" s="4"/>
      <c r="C155" s="4"/>
      <c r="D155" s="4"/>
      <c r="E155" s="4"/>
      <c r="F155" s="4"/>
      <c r="G155" s="4"/>
      <c r="H155" s="5"/>
    </row>
    <row r="157" spans="1:8" x14ac:dyDescent="0.2">
      <c r="B157" s="1">
        <f>12*4</f>
        <v>48</v>
      </c>
      <c r="C157" s="1" t="s">
        <v>45</v>
      </c>
    </row>
    <row r="158" spans="1:8" x14ac:dyDescent="0.2">
      <c r="B158" s="1">
        <v>3</v>
      </c>
      <c r="C158" s="1" t="s">
        <v>42</v>
      </c>
    </row>
    <row r="159" spans="1:8" x14ac:dyDescent="0.2">
      <c r="B159" s="1">
        <v>-50000</v>
      </c>
      <c r="C159" s="1" t="s">
        <v>39</v>
      </c>
    </row>
    <row r="160" spans="1:8" x14ac:dyDescent="0.2">
      <c r="B160" s="1">
        <v>0</v>
      </c>
      <c r="C160" s="1" t="s">
        <v>47</v>
      </c>
    </row>
    <row r="161" spans="1:8" x14ac:dyDescent="0.2">
      <c r="B161" s="148">
        <f>FV(B158/100,B157,B160,B159)</f>
        <v>206612.59396300721</v>
      </c>
      <c r="C161" s="1" t="s">
        <v>50</v>
      </c>
    </row>
    <row r="162" spans="1:8" ht="17" thickBot="1" x14ac:dyDescent="0.25"/>
    <row r="163" spans="1:8" ht="17" thickBot="1" x14ac:dyDescent="0.25">
      <c r="A163" s="3" t="s">
        <v>1111</v>
      </c>
      <c r="B163" s="4"/>
      <c r="C163" s="4"/>
      <c r="D163" s="4"/>
      <c r="E163" s="4"/>
      <c r="F163" s="4"/>
      <c r="G163" s="4"/>
      <c r="H163" s="5"/>
    </row>
    <row r="166" spans="1:8" x14ac:dyDescent="0.2">
      <c r="B166" s="1">
        <v>2</v>
      </c>
      <c r="C166" s="1">
        <f>7*4</f>
        <v>28</v>
      </c>
      <c r="D166" s="1">
        <v>12</v>
      </c>
      <c r="E166" s="1" t="s">
        <v>45</v>
      </c>
    </row>
    <row r="167" spans="1:8" x14ac:dyDescent="0.2">
      <c r="B167" s="1">
        <v>5</v>
      </c>
      <c r="C167" s="1">
        <v>4</v>
      </c>
      <c r="D167" s="1">
        <v>1</v>
      </c>
      <c r="E167" s="1" t="s">
        <v>42</v>
      </c>
    </row>
    <row r="168" spans="1:8" x14ac:dyDescent="0.2">
      <c r="B168" s="138">
        <f>-C170</f>
        <v>-135160.55831977594</v>
      </c>
      <c r="C168" s="138">
        <f>-D170</f>
        <v>-45073.001205278793</v>
      </c>
      <c r="D168" s="1">
        <v>-40000</v>
      </c>
      <c r="E168" s="1" t="s">
        <v>39</v>
      </c>
    </row>
    <row r="169" spans="1:8" x14ac:dyDescent="0.2">
      <c r="B169" s="1">
        <v>0</v>
      </c>
      <c r="C169" s="1">
        <v>0</v>
      </c>
      <c r="D169" s="1">
        <v>0</v>
      </c>
      <c r="E169" s="1" t="s">
        <v>47</v>
      </c>
    </row>
    <row r="170" spans="1:8" x14ac:dyDescent="0.2">
      <c r="B170" s="148">
        <f>FV(B167/100,B166,B169,B168)</f>
        <v>149014.51554755299</v>
      </c>
      <c r="C170" s="148">
        <f>FV(C167/100,C166,C169,C168)</f>
        <v>135160.55831977594</v>
      </c>
      <c r="D170" s="148">
        <f>FV(D167/100,D166,D169,D168)</f>
        <v>45073.001205278793</v>
      </c>
      <c r="E170" s="1" t="s">
        <v>50</v>
      </c>
    </row>
    <row r="172" spans="1:8" x14ac:dyDescent="0.2">
      <c r="B172" s="2" t="s">
        <v>1112</v>
      </c>
      <c r="C172" s="2"/>
    </row>
    <row r="173" spans="1:8" ht="17" thickBot="1" x14ac:dyDescent="0.25"/>
    <row r="174" spans="1:8" ht="17" thickBot="1" x14ac:dyDescent="0.25">
      <c r="A174" s="3" t="s">
        <v>1113</v>
      </c>
      <c r="B174" s="4"/>
      <c r="C174" s="4"/>
      <c r="D174" s="4"/>
      <c r="E174" s="4"/>
      <c r="F174" s="4"/>
      <c r="G174" s="4"/>
      <c r="H174" s="5"/>
    </row>
    <row r="176" spans="1:8" x14ac:dyDescent="0.2">
      <c r="B176" s="1">
        <v>48</v>
      </c>
      <c r="C176" s="1" t="s">
        <v>45</v>
      </c>
    </row>
    <row r="177" spans="1:8" x14ac:dyDescent="0.2">
      <c r="B177" s="1">
        <v>1</v>
      </c>
      <c r="C177" s="1" t="s">
        <v>42</v>
      </c>
    </row>
    <row r="178" spans="1:8" x14ac:dyDescent="0.2">
      <c r="B178" s="1">
        <v>0</v>
      </c>
      <c r="C178" s="1" t="s">
        <v>39</v>
      </c>
    </row>
    <row r="179" spans="1:8" x14ac:dyDescent="0.2">
      <c r="B179" s="1">
        <v>-900</v>
      </c>
      <c r="C179" s="1" t="s">
        <v>47</v>
      </c>
    </row>
    <row r="180" spans="1:8" x14ac:dyDescent="0.2">
      <c r="B180" s="148">
        <f>FV(B177/100,B176,B179,B178)</f>
        <v>55100.346991421873</v>
      </c>
      <c r="C180" s="1" t="s">
        <v>50</v>
      </c>
    </row>
    <row r="181" spans="1:8" ht="17" thickBot="1" x14ac:dyDescent="0.25"/>
    <row r="182" spans="1:8" ht="17" thickBot="1" x14ac:dyDescent="0.25">
      <c r="A182" s="3" t="s">
        <v>1114</v>
      </c>
      <c r="B182" s="4"/>
      <c r="C182" s="4"/>
      <c r="D182" s="4"/>
      <c r="E182" s="4"/>
      <c r="F182" s="4"/>
      <c r="G182" s="4"/>
      <c r="H182" s="5"/>
    </row>
    <row r="184" spans="1:8" x14ac:dyDescent="0.2">
      <c r="B184" s="1">
        <f>3*2</f>
        <v>6</v>
      </c>
      <c r="C184" s="1">
        <v>48</v>
      </c>
      <c r="D184" s="1" t="s">
        <v>45</v>
      </c>
    </row>
    <row r="185" spans="1:8" x14ac:dyDescent="0.2">
      <c r="B185" s="1">
        <v>5</v>
      </c>
      <c r="C185" s="1">
        <v>1</v>
      </c>
      <c r="D185" s="1" t="s">
        <v>42</v>
      </c>
    </row>
    <row r="186" spans="1:8" x14ac:dyDescent="0.2">
      <c r="B186" s="138">
        <f>-C188</f>
        <v>-55100.346991421873</v>
      </c>
      <c r="C186" s="1">
        <v>0</v>
      </c>
      <c r="D186" s="1" t="s">
        <v>39</v>
      </c>
    </row>
    <row r="187" spans="1:8" x14ac:dyDescent="0.2">
      <c r="B187" s="1">
        <v>0</v>
      </c>
      <c r="C187" s="1">
        <v>-900</v>
      </c>
      <c r="D187" s="1" t="s">
        <v>47</v>
      </c>
    </row>
    <row r="188" spans="1:8" x14ac:dyDescent="0.2">
      <c r="B188" s="148">
        <f>FV(B185/100,B184,B187,B186)</f>
        <v>73839.734800129285</v>
      </c>
      <c r="C188" s="148">
        <f>FV(C185/100,C184,C187,C186)</f>
        <v>55100.346991421873</v>
      </c>
      <c r="D188" s="1" t="s">
        <v>50</v>
      </c>
    </row>
    <row r="190" spans="1:8" x14ac:dyDescent="0.2">
      <c r="B190" s="2" t="s">
        <v>1115</v>
      </c>
    </row>
    <row r="191" spans="1:8" ht="17" thickBot="1" x14ac:dyDescent="0.25"/>
    <row r="192" spans="1:8" ht="17" thickBot="1" x14ac:dyDescent="0.25">
      <c r="A192" s="3" t="s">
        <v>1116</v>
      </c>
      <c r="B192" s="4"/>
      <c r="C192" s="4"/>
      <c r="D192" s="4"/>
      <c r="E192" s="4"/>
      <c r="F192" s="4"/>
      <c r="G192" s="4"/>
      <c r="H192" s="5"/>
    </row>
    <row r="193" spans="1:8" ht="17" thickBot="1" x14ac:dyDescent="0.25"/>
    <row r="194" spans="1:8" ht="17" thickBot="1" x14ac:dyDescent="0.25">
      <c r="A194" s="3" t="s">
        <v>1117</v>
      </c>
      <c r="B194" s="4"/>
      <c r="C194" s="4"/>
      <c r="D194" s="4"/>
      <c r="E194" s="4"/>
      <c r="F194" s="4"/>
      <c r="G194" s="4"/>
      <c r="H194" s="5"/>
    </row>
    <row r="196" spans="1:8" x14ac:dyDescent="0.2">
      <c r="B196" s="29">
        <f>NPER(B197/100,B199,B198,B200)</f>
        <v>31.539793873096961</v>
      </c>
      <c r="C196" s="1" t="s">
        <v>45</v>
      </c>
    </row>
    <row r="197" spans="1:8" x14ac:dyDescent="0.2">
      <c r="B197" s="1">
        <v>0.8</v>
      </c>
      <c r="C197" s="1" t="s">
        <v>42</v>
      </c>
    </row>
    <row r="198" spans="1:8" x14ac:dyDescent="0.2">
      <c r="B198" s="1">
        <v>-50000</v>
      </c>
      <c r="C198" s="1" t="s">
        <v>39</v>
      </c>
    </row>
    <row r="199" spans="1:8" x14ac:dyDescent="0.2">
      <c r="B199" s="1">
        <v>-1000</v>
      </c>
      <c r="C199" s="1" t="s">
        <v>47</v>
      </c>
    </row>
    <row r="200" spans="1:8" x14ac:dyDescent="0.2">
      <c r="B200" s="138">
        <v>100000</v>
      </c>
      <c r="C200" s="1" t="s">
        <v>50</v>
      </c>
    </row>
    <row r="202" spans="1:8" x14ac:dyDescent="0.2">
      <c r="B202" s="1" t="s">
        <v>1118</v>
      </c>
    </row>
    <row r="203" spans="1:8" ht="17" thickBot="1" x14ac:dyDescent="0.25"/>
    <row r="204" spans="1:8" ht="17" thickBot="1" x14ac:dyDescent="0.25">
      <c r="A204" s="3" t="s">
        <v>1119</v>
      </c>
      <c r="B204" s="4"/>
      <c r="C204" s="4"/>
      <c r="D204" s="4"/>
      <c r="E204" s="4"/>
      <c r="F204" s="4"/>
      <c r="G204" s="4"/>
      <c r="H204" s="5"/>
    </row>
    <row r="205" spans="1:8" ht="17" thickBot="1" x14ac:dyDescent="0.25"/>
    <row r="206" spans="1:8" ht="17" thickBot="1" x14ac:dyDescent="0.25">
      <c r="A206" s="3" t="s">
        <v>1120</v>
      </c>
      <c r="B206" s="4"/>
      <c r="C206" s="4"/>
      <c r="D206" s="4"/>
      <c r="E206" s="4"/>
      <c r="F206" s="4"/>
      <c r="G206" s="4"/>
      <c r="H206" s="5"/>
    </row>
    <row r="208" spans="1:8" x14ac:dyDescent="0.2">
      <c r="C208" s="1">
        <v>5</v>
      </c>
      <c r="D208" s="1">
        <v>4</v>
      </c>
      <c r="E208" s="1">
        <v>2</v>
      </c>
      <c r="F208" s="1" t="s">
        <v>45</v>
      </c>
    </row>
    <row r="209" spans="1:8" x14ac:dyDescent="0.2">
      <c r="C209" s="1">
        <v>6</v>
      </c>
      <c r="D209" s="1">
        <v>5</v>
      </c>
      <c r="E209" s="1">
        <v>7</v>
      </c>
      <c r="F209" s="1" t="s">
        <v>42</v>
      </c>
    </row>
    <row r="210" spans="1:8" x14ac:dyDescent="0.2">
      <c r="C210" s="138">
        <f>-D212</f>
        <v>-333991.94534999999</v>
      </c>
      <c r="D210" s="138">
        <f>-E212</f>
        <v>-274776</v>
      </c>
      <c r="E210" s="1">
        <v>-240000</v>
      </c>
      <c r="F210" s="1" t="s">
        <v>39</v>
      </c>
    </row>
    <row r="211" spans="1:8" x14ac:dyDescent="0.2">
      <c r="C211" s="1">
        <v>0</v>
      </c>
      <c r="D211" s="1">
        <v>0</v>
      </c>
      <c r="E211" s="1">
        <v>0</v>
      </c>
      <c r="F211" s="1" t="s">
        <v>47</v>
      </c>
    </row>
    <row r="212" spans="1:8" x14ac:dyDescent="0.2">
      <c r="C212" s="148">
        <f>FV(C209/100,C208,C211,C210)</f>
        <v>446956.56397975155</v>
      </c>
      <c r="D212" s="148">
        <f>FV(D209/100,D208,D211,D210)</f>
        <v>333991.94534999999</v>
      </c>
      <c r="E212" s="148">
        <f>FV(E209/100,E208,E211,E210)</f>
        <v>274776</v>
      </c>
      <c r="F212" s="1" t="s">
        <v>50</v>
      </c>
    </row>
    <row r="214" spans="1:8" x14ac:dyDescent="0.2">
      <c r="A214" s="1" t="s">
        <v>1124</v>
      </c>
    </row>
    <row r="215" spans="1:8" x14ac:dyDescent="0.2">
      <c r="A215" s="1" t="s">
        <v>1123</v>
      </c>
    </row>
    <row r="216" spans="1:8" ht="17" thickBot="1" x14ac:dyDescent="0.25"/>
    <row r="217" spans="1:8" ht="17" thickBot="1" x14ac:dyDescent="0.25">
      <c r="A217" s="3" t="s">
        <v>1122</v>
      </c>
      <c r="B217" s="4"/>
      <c r="C217" s="4"/>
      <c r="D217" s="4"/>
      <c r="E217" s="4"/>
      <c r="F217" s="4"/>
      <c r="G217" s="4"/>
      <c r="H217" s="5"/>
    </row>
    <row r="219" spans="1:8" x14ac:dyDescent="0.2">
      <c r="C219" s="1">
        <f>7*4</f>
        <v>28</v>
      </c>
      <c r="D219" s="1">
        <v>24</v>
      </c>
      <c r="E219" s="1">
        <v>1</v>
      </c>
      <c r="F219" s="1" t="s">
        <v>45</v>
      </c>
    </row>
    <row r="220" spans="1:8" x14ac:dyDescent="0.2">
      <c r="C220" s="1">
        <f>((1+10%)^(1/4)-1)*100</f>
        <v>2.4113689084445111</v>
      </c>
      <c r="D220" s="1">
        <f>((1+10%)^(1/12)-1)*100</f>
        <v>0.79741404289037643</v>
      </c>
      <c r="E220" s="1">
        <v>10</v>
      </c>
      <c r="F220" s="1" t="s">
        <v>42</v>
      </c>
    </row>
    <row r="221" spans="1:8" x14ac:dyDescent="0.2">
      <c r="C221" s="138">
        <f>-D223</f>
        <v>-264775.63442876976</v>
      </c>
      <c r="D221" s="138">
        <f>-E223</f>
        <v>-110000.00000000001</v>
      </c>
      <c r="E221" s="1">
        <v>-100000</v>
      </c>
      <c r="F221" s="1" t="s">
        <v>39</v>
      </c>
    </row>
    <row r="222" spans="1:8" x14ac:dyDescent="0.2">
      <c r="C222" s="1">
        <v>-5000</v>
      </c>
      <c r="D222" s="1">
        <v>-5000</v>
      </c>
      <c r="E222" s="1">
        <v>0</v>
      </c>
      <c r="F222" s="1" t="s">
        <v>47</v>
      </c>
    </row>
    <row r="223" spans="1:8" x14ac:dyDescent="0.2">
      <c r="C223" s="148">
        <f>FV(C220/100,C219,C222,C221)</f>
        <v>712690.34245137847</v>
      </c>
      <c r="D223" s="148">
        <f>FV(D220/100,D219,D222,D221)</f>
        <v>264775.63442876976</v>
      </c>
      <c r="E223" s="148">
        <f>FV(E220/100,E219,E222,E221)</f>
        <v>110000.00000000001</v>
      </c>
      <c r="F223" s="1" t="s">
        <v>50</v>
      </c>
    </row>
    <row r="225" spans="1:10" x14ac:dyDescent="0.2">
      <c r="B225" s="1" t="s">
        <v>1121</v>
      </c>
    </row>
    <row r="229" spans="1:10" ht="18" x14ac:dyDescent="0.2">
      <c r="A229" s="136" t="s">
        <v>906</v>
      </c>
      <c r="B229" s="136"/>
      <c r="C229" s="136"/>
      <c r="D229" s="136"/>
      <c r="E229" s="136"/>
      <c r="F229" s="136"/>
      <c r="G229" s="136"/>
      <c r="H229" s="136"/>
    </row>
    <row r="231" spans="1:10" x14ac:dyDescent="0.2">
      <c r="A231" s="1" t="s">
        <v>907</v>
      </c>
    </row>
    <row r="232" spans="1:10" x14ac:dyDescent="0.2">
      <c r="A232" s="1" t="s">
        <v>908</v>
      </c>
    </row>
    <row r="233" spans="1:10" x14ac:dyDescent="0.2">
      <c r="A233" s="1" t="s">
        <v>909</v>
      </c>
    </row>
    <row r="234" spans="1:10" ht="17" thickBot="1" x14ac:dyDescent="0.25"/>
    <row r="235" spans="1:10" x14ac:dyDescent="0.2">
      <c r="A235" s="30" t="s">
        <v>910</v>
      </c>
      <c r="B235" s="31" t="s">
        <v>911</v>
      </c>
      <c r="C235" s="31"/>
      <c r="D235" s="31"/>
      <c r="E235" s="31"/>
      <c r="F235" s="31" t="s">
        <v>912</v>
      </c>
      <c r="G235" s="31"/>
      <c r="H235" s="31"/>
      <c r="I235" s="31"/>
      <c r="J235" s="23"/>
    </row>
    <row r="236" spans="1:10" x14ac:dyDescent="0.2">
      <c r="A236" s="24">
        <v>1</v>
      </c>
      <c r="B236" s="1" t="s">
        <v>913</v>
      </c>
      <c r="F236" s="1" t="s">
        <v>914</v>
      </c>
      <c r="J236" s="25"/>
    </row>
    <row r="237" spans="1:10" x14ac:dyDescent="0.2">
      <c r="A237" s="24">
        <v>2</v>
      </c>
      <c r="B237" s="1" t="s">
        <v>915</v>
      </c>
      <c r="F237" s="1" t="s">
        <v>916</v>
      </c>
      <c r="J237" s="25"/>
    </row>
    <row r="238" spans="1:10" ht="17" thickBot="1" x14ac:dyDescent="0.25">
      <c r="A238" s="26">
        <v>3</v>
      </c>
      <c r="B238" s="27" t="s">
        <v>917</v>
      </c>
      <c r="C238" s="27"/>
      <c r="D238" s="27"/>
      <c r="E238" s="27"/>
      <c r="F238" s="27" t="s">
        <v>918</v>
      </c>
      <c r="G238" s="27"/>
      <c r="H238" s="27"/>
      <c r="I238" s="27"/>
      <c r="J238" s="28"/>
    </row>
    <row r="240" spans="1:10" x14ac:dyDescent="0.2">
      <c r="A240" s="1" t="s">
        <v>919</v>
      </c>
    </row>
    <row r="242" spans="1:8" x14ac:dyDescent="0.2">
      <c r="A242" s="137" t="s">
        <v>933</v>
      </c>
      <c r="B242" s="137"/>
      <c r="C242" s="137"/>
      <c r="D242" s="137"/>
      <c r="E242" s="137"/>
      <c r="F242" s="137"/>
      <c r="G242" s="137"/>
      <c r="H242" s="137"/>
    </row>
    <row r="243" spans="1:8" x14ac:dyDescent="0.2">
      <c r="A243" s="1" t="s">
        <v>920</v>
      </c>
    </row>
    <row r="244" spans="1:8" x14ac:dyDescent="0.2">
      <c r="A244" s="1" t="s">
        <v>921</v>
      </c>
    </row>
    <row r="245" spans="1:8" x14ac:dyDescent="0.2">
      <c r="A245" s="1" t="s">
        <v>922</v>
      </c>
    </row>
    <row r="246" spans="1:8" x14ac:dyDescent="0.2">
      <c r="A246" s="1" t="s">
        <v>923</v>
      </c>
    </row>
    <row r="247" spans="1:8" x14ac:dyDescent="0.2">
      <c r="A247" s="1" t="s">
        <v>924</v>
      </c>
    </row>
    <row r="249" spans="1:8" x14ac:dyDescent="0.2">
      <c r="A249" s="1" t="s">
        <v>925</v>
      </c>
    </row>
    <row r="250" spans="1:8" x14ac:dyDescent="0.2">
      <c r="E250"/>
    </row>
    <row r="251" spans="1:8" x14ac:dyDescent="0.2">
      <c r="A251" s="2" t="s">
        <v>27</v>
      </c>
    </row>
    <row r="253" spans="1:8" x14ac:dyDescent="0.2">
      <c r="A253" s="1" t="s">
        <v>926</v>
      </c>
    </row>
    <row r="254" spans="1:8" x14ac:dyDescent="0.2">
      <c r="A254" s="1" t="s">
        <v>927</v>
      </c>
    </row>
    <row r="255" spans="1:8" x14ac:dyDescent="0.2">
      <c r="C255" s="59" t="s">
        <v>929</v>
      </c>
      <c r="D255" s="12"/>
      <c r="E255" s="59" t="s">
        <v>928</v>
      </c>
    </row>
    <row r="256" spans="1:8" x14ac:dyDescent="0.2">
      <c r="C256" s="12">
        <v>60</v>
      </c>
      <c r="D256" s="1" t="s">
        <v>45</v>
      </c>
      <c r="E256" s="12">
        <v>20</v>
      </c>
      <c r="F256" s="1" t="s">
        <v>45</v>
      </c>
    </row>
    <row r="257" spans="1:10" x14ac:dyDescent="0.2">
      <c r="C257" s="124">
        <f>((1+12.6825%)^(1/12)-1)*100</f>
        <v>0.99999977493334669</v>
      </c>
      <c r="D257" s="1" t="s">
        <v>42</v>
      </c>
      <c r="E257" s="124">
        <f>((1+12.6825%)^(1/12)-1)*100</f>
        <v>0.99999977493334669</v>
      </c>
      <c r="F257" s="1" t="s">
        <v>42</v>
      </c>
    </row>
    <row r="258" spans="1:10" x14ac:dyDescent="0.2">
      <c r="C258" s="42">
        <f>PV(C257/100,C256,C259,C260)</f>
        <v>35964.032931543748</v>
      </c>
      <c r="D258" s="1" t="s">
        <v>39</v>
      </c>
      <c r="E258" s="42">
        <f>PV(E257/100,E256,E259,E260)</f>
        <v>36091.106750410392</v>
      </c>
      <c r="F258" s="1" t="s">
        <v>39</v>
      </c>
    </row>
    <row r="259" spans="1:10" x14ac:dyDescent="0.2">
      <c r="C259" s="12">
        <v>-800</v>
      </c>
      <c r="D259" s="1" t="s">
        <v>47</v>
      </c>
      <c r="E259" s="12">
        <v>-2000</v>
      </c>
      <c r="F259" s="1" t="s">
        <v>47</v>
      </c>
    </row>
    <row r="260" spans="1:10" x14ac:dyDescent="0.2">
      <c r="C260" s="12">
        <v>0</v>
      </c>
      <c r="D260" s="1" t="s">
        <v>50</v>
      </c>
      <c r="E260" s="12">
        <v>0</v>
      </c>
      <c r="F260" s="1" t="s">
        <v>50</v>
      </c>
    </row>
    <row r="262" spans="1:10" x14ac:dyDescent="0.2">
      <c r="A262" s="1" t="s">
        <v>930</v>
      </c>
    </row>
    <row r="263" spans="1:10" x14ac:dyDescent="0.2">
      <c r="A263" s="1" t="s">
        <v>931</v>
      </c>
    </row>
    <row r="266" spans="1:10" x14ac:dyDescent="0.2">
      <c r="J266" s="1" t="s">
        <v>932</v>
      </c>
    </row>
    <row r="277" spans="1:8" x14ac:dyDescent="0.2">
      <c r="A277" s="137" t="s">
        <v>934</v>
      </c>
      <c r="B277" s="137"/>
      <c r="C277" s="137"/>
      <c r="D277" s="137"/>
      <c r="E277" s="137"/>
      <c r="F277" s="137"/>
      <c r="G277" s="137"/>
      <c r="H277" s="137"/>
    </row>
    <row r="279" spans="1:8" x14ac:dyDescent="0.2">
      <c r="A279" s="1" t="s">
        <v>935</v>
      </c>
      <c r="G279"/>
    </row>
    <row r="280" spans="1:8" x14ac:dyDescent="0.2">
      <c r="A280" s="1" t="s">
        <v>936</v>
      </c>
    </row>
    <row r="281" spans="1:8" x14ac:dyDescent="0.2">
      <c r="A281" s="1" t="s">
        <v>937</v>
      </c>
    </row>
    <row r="282" spans="1:8" x14ac:dyDescent="0.2">
      <c r="A282" s="1" t="s">
        <v>938</v>
      </c>
    </row>
    <row r="283" spans="1:8" x14ac:dyDescent="0.2">
      <c r="A283" s="1" t="s">
        <v>939</v>
      </c>
    </row>
    <row r="285" spans="1:8" x14ac:dyDescent="0.2">
      <c r="A285" s="1" t="s">
        <v>940</v>
      </c>
    </row>
    <row r="287" spans="1:8" x14ac:dyDescent="0.2">
      <c r="A287" s="1" t="s">
        <v>27</v>
      </c>
    </row>
    <row r="288" spans="1:8" x14ac:dyDescent="0.2">
      <c r="A288" s="1" t="s">
        <v>941</v>
      </c>
    </row>
    <row r="289" spans="1:7" x14ac:dyDescent="0.2">
      <c r="A289" s="1" t="s">
        <v>942</v>
      </c>
    </row>
    <row r="290" spans="1:7" x14ac:dyDescent="0.2">
      <c r="A290" s="1" t="s">
        <v>943</v>
      </c>
    </row>
    <row r="291" spans="1:7" x14ac:dyDescent="0.2">
      <c r="B291" s="12" t="s">
        <v>948</v>
      </c>
      <c r="C291" s="12"/>
      <c r="D291" s="12" t="s">
        <v>947</v>
      </c>
      <c r="E291" s="12"/>
      <c r="F291" s="12" t="s">
        <v>946</v>
      </c>
    </row>
    <row r="292" spans="1:7" x14ac:dyDescent="0.2">
      <c r="B292" s="59" t="s">
        <v>945</v>
      </c>
      <c r="C292" s="12"/>
      <c r="D292" s="59" t="s">
        <v>944</v>
      </c>
      <c r="E292" s="12"/>
      <c r="F292" s="59" t="s">
        <v>316</v>
      </c>
    </row>
    <row r="293" spans="1:7" x14ac:dyDescent="0.2">
      <c r="B293" s="12">
        <v>12</v>
      </c>
      <c r="C293" s="1" t="s">
        <v>45</v>
      </c>
      <c r="D293" s="12">
        <f>6.5*12</f>
        <v>78</v>
      </c>
      <c r="E293" s="1" t="s">
        <v>45</v>
      </c>
      <c r="F293" s="12">
        <v>36</v>
      </c>
      <c r="G293" s="1" t="s">
        <v>45</v>
      </c>
    </row>
    <row r="294" spans="1:7" x14ac:dyDescent="0.2">
      <c r="B294" s="123">
        <v>0.5</v>
      </c>
      <c r="C294" s="1" t="s">
        <v>42</v>
      </c>
      <c r="D294" s="123">
        <v>0.5</v>
      </c>
      <c r="E294" s="1" t="s">
        <v>42</v>
      </c>
      <c r="F294" s="123">
        <v>0.5</v>
      </c>
      <c r="G294" s="1" t="s">
        <v>42</v>
      </c>
    </row>
    <row r="295" spans="1:7" x14ac:dyDescent="0.2">
      <c r="B295" s="42">
        <f>PV(B294/100,B293,B296,B297)</f>
        <v>-94190.533966591975</v>
      </c>
      <c r="C295" s="1" t="s">
        <v>39</v>
      </c>
      <c r="D295" s="42">
        <f>PV(D294/100,D293,D296,D297)</f>
        <v>-128913.94699278503</v>
      </c>
      <c r="E295" s="1" t="s">
        <v>39</v>
      </c>
      <c r="F295" s="42">
        <f>PV(F294/100,F293,F296,F297)</f>
        <v>-131484.06495705992</v>
      </c>
      <c r="G295" s="1" t="s">
        <v>39</v>
      </c>
    </row>
    <row r="296" spans="1:7" x14ac:dyDescent="0.2">
      <c r="B296" s="12">
        <v>0</v>
      </c>
      <c r="C296" s="1" t="s">
        <v>47</v>
      </c>
      <c r="D296" s="12">
        <v>2000</v>
      </c>
      <c r="E296" s="1" t="s">
        <v>47</v>
      </c>
      <c r="F296" s="12">
        <v>4000</v>
      </c>
      <c r="G296" s="1" t="s">
        <v>47</v>
      </c>
    </row>
    <row r="297" spans="1:7" x14ac:dyDescent="0.2">
      <c r="B297" s="12">
        <v>100000</v>
      </c>
      <c r="C297" s="1" t="s">
        <v>50</v>
      </c>
      <c r="D297" s="12">
        <v>0</v>
      </c>
      <c r="E297" s="1" t="s">
        <v>50</v>
      </c>
      <c r="F297" s="12">
        <v>0</v>
      </c>
      <c r="G297" s="1" t="s">
        <v>50</v>
      </c>
    </row>
    <row r="299" spans="1:7" x14ac:dyDescent="0.2">
      <c r="F299" s="1" t="s">
        <v>949</v>
      </c>
    </row>
    <row r="300" spans="1:7" x14ac:dyDescent="0.2">
      <c r="A300" s="1" t="s">
        <v>953</v>
      </c>
      <c r="C300" s="138">
        <f>-F295</f>
        <v>131484.06495705992</v>
      </c>
      <c r="F300" s="1" t="s">
        <v>950</v>
      </c>
    </row>
    <row r="301" spans="1:7" x14ac:dyDescent="0.2">
      <c r="A301" s="1" t="s">
        <v>954</v>
      </c>
      <c r="C301" s="138">
        <f>-D295</f>
        <v>128913.94699278503</v>
      </c>
      <c r="F301" s="1" t="s">
        <v>951</v>
      </c>
    </row>
    <row r="302" spans="1:7" x14ac:dyDescent="0.2">
      <c r="A302" s="1" t="s">
        <v>955</v>
      </c>
      <c r="C302" s="138">
        <f>-B295</f>
        <v>94190.533966591975</v>
      </c>
      <c r="F302" s="1" t="s">
        <v>952</v>
      </c>
    </row>
    <row r="313" spans="1:8" x14ac:dyDescent="0.2">
      <c r="A313" s="139" t="s">
        <v>956</v>
      </c>
      <c r="B313" s="139"/>
      <c r="C313" s="139"/>
      <c r="D313" s="139"/>
      <c r="E313" s="139"/>
      <c r="F313" s="139"/>
      <c r="G313" s="139"/>
      <c r="H313" s="139"/>
    </row>
    <row r="314" spans="1:8" x14ac:dyDescent="0.2">
      <c r="A314" s="1" t="s">
        <v>957</v>
      </c>
    </row>
    <row r="315" spans="1:8" x14ac:dyDescent="0.2">
      <c r="A315" s="1" t="s">
        <v>958</v>
      </c>
    </row>
    <row r="316" spans="1:8" x14ac:dyDescent="0.2">
      <c r="A316" s="1" t="s">
        <v>959</v>
      </c>
    </row>
    <row r="317" spans="1:8" x14ac:dyDescent="0.2">
      <c r="A317" s="1" t="s">
        <v>960</v>
      </c>
    </row>
    <row r="318" spans="1:8" x14ac:dyDescent="0.2">
      <c r="A318" s="1" t="s">
        <v>961</v>
      </c>
    </row>
    <row r="320" spans="1:8" x14ac:dyDescent="0.2">
      <c r="A320" s="2" t="s">
        <v>962</v>
      </c>
    </row>
    <row r="321" spans="1:8" x14ac:dyDescent="0.2">
      <c r="A321" s="1" t="s">
        <v>963</v>
      </c>
    </row>
    <row r="322" spans="1:8" x14ac:dyDescent="0.2">
      <c r="A322" s="1" t="s">
        <v>964</v>
      </c>
    </row>
    <row r="323" spans="1:8" x14ac:dyDescent="0.2">
      <c r="A323" s="1" t="s">
        <v>965</v>
      </c>
    </row>
    <row r="324" spans="1:8" x14ac:dyDescent="0.2">
      <c r="A324" s="1" t="s">
        <v>966</v>
      </c>
    </row>
    <row r="326" spans="1:8" x14ac:dyDescent="0.2">
      <c r="G326"/>
    </row>
    <row r="327" spans="1:8" x14ac:dyDescent="0.2">
      <c r="G327"/>
    </row>
    <row r="328" spans="1:8" x14ac:dyDescent="0.2">
      <c r="G328"/>
    </row>
    <row r="329" spans="1:8" x14ac:dyDescent="0.2">
      <c r="G329"/>
    </row>
    <row r="330" spans="1:8" x14ac:dyDescent="0.2">
      <c r="G330"/>
    </row>
    <row r="331" spans="1:8" x14ac:dyDescent="0.2">
      <c r="G331"/>
    </row>
    <row r="332" spans="1:8" x14ac:dyDescent="0.2">
      <c r="G332"/>
    </row>
    <row r="333" spans="1:8" x14ac:dyDescent="0.2">
      <c r="B333" s="12">
        <f>120-22</f>
        <v>98</v>
      </c>
      <c r="F333" s="12">
        <v>23</v>
      </c>
      <c r="G333"/>
      <c r="H333" s="12">
        <v>0</v>
      </c>
    </row>
    <row r="334" spans="1:8" x14ac:dyDescent="0.2">
      <c r="B334" s="12"/>
      <c r="G334"/>
      <c r="H334" s="12"/>
    </row>
    <row r="335" spans="1:8" x14ac:dyDescent="0.2">
      <c r="B335" s="12" t="s">
        <v>969</v>
      </c>
      <c r="F335" s="12" t="s">
        <v>968</v>
      </c>
      <c r="G335"/>
      <c r="H335" s="12" t="s">
        <v>967</v>
      </c>
    </row>
    <row r="336" spans="1:8" x14ac:dyDescent="0.2">
      <c r="B336" s="12"/>
      <c r="G336"/>
    </row>
    <row r="337" spans="1:9" x14ac:dyDescent="0.2">
      <c r="G337"/>
    </row>
    <row r="338" spans="1:9" x14ac:dyDescent="0.2">
      <c r="C338" s="12">
        <f>75*12</f>
        <v>900</v>
      </c>
      <c r="D338" s="1" t="s">
        <v>45</v>
      </c>
      <c r="G338" s="140">
        <f>23*12</f>
        <v>276</v>
      </c>
      <c r="H338" s="1" t="s">
        <v>45</v>
      </c>
    </row>
    <row r="339" spans="1:9" x14ac:dyDescent="0.2">
      <c r="C339" s="12">
        <v>0.8</v>
      </c>
      <c r="D339" s="1" t="s">
        <v>42</v>
      </c>
      <c r="G339" s="140">
        <v>0.8</v>
      </c>
      <c r="H339" s="1" t="s">
        <v>42</v>
      </c>
    </row>
    <row r="340" spans="1:9" x14ac:dyDescent="0.2">
      <c r="C340" s="12">
        <v>15000</v>
      </c>
      <c r="D340" s="1" t="s">
        <v>47</v>
      </c>
      <c r="F340" s="33" t="s">
        <v>39</v>
      </c>
      <c r="G340" s="142">
        <f>PMT(G339/100,G338,G341,G342)</f>
        <v>-1869.3697333652638</v>
      </c>
      <c r="H340" s="1" t="s">
        <v>47</v>
      </c>
      <c r="I340" s="1" t="s">
        <v>970</v>
      </c>
    </row>
    <row r="341" spans="1:9" x14ac:dyDescent="0.2">
      <c r="C341" s="42">
        <f>PV(C339/100,C338,C340,C342)</f>
        <v>-1873559.4697800055</v>
      </c>
      <c r="D341" s="1" t="s">
        <v>39</v>
      </c>
      <c r="G341" s="140">
        <v>0</v>
      </c>
      <c r="H341" s="1" t="s">
        <v>39</v>
      </c>
    </row>
    <row r="342" spans="1:9" x14ac:dyDescent="0.2">
      <c r="C342" s="12">
        <v>0</v>
      </c>
      <c r="D342" s="1" t="s">
        <v>50</v>
      </c>
      <c r="G342" s="141">
        <f>-C341</f>
        <v>1873559.4697800055</v>
      </c>
      <c r="H342" s="1" t="s">
        <v>50</v>
      </c>
    </row>
    <row r="343" spans="1:9" x14ac:dyDescent="0.2">
      <c r="G343"/>
    </row>
    <row r="344" spans="1:9" x14ac:dyDescent="0.2">
      <c r="G344"/>
    </row>
    <row r="345" spans="1:9" x14ac:dyDescent="0.2">
      <c r="A345" s="1" t="s">
        <v>971</v>
      </c>
      <c r="G345"/>
    </row>
    <row r="346" spans="1:9" x14ac:dyDescent="0.2">
      <c r="A346" s="1" t="s">
        <v>972</v>
      </c>
      <c r="G346"/>
    </row>
    <row r="347" spans="1:9" x14ac:dyDescent="0.2">
      <c r="A347" s="1" t="s">
        <v>973</v>
      </c>
      <c r="G347"/>
    </row>
    <row r="348" spans="1:9" x14ac:dyDescent="0.2">
      <c r="G348"/>
    </row>
    <row r="349" spans="1:9" x14ac:dyDescent="0.2">
      <c r="G349"/>
    </row>
    <row r="350" spans="1:9" x14ac:dyDescent="0.2">
      <c r="G350"/>
    </row>
    <row r="351" spans="1:9" x14ac:dyDescent="0.2">
      <c r="G351"/>
    </row>
    <row r="352" spans="1:9" x14ac:dyDescent="0.2">
      <c r="G352"/>
    </row>
    <row r="353" spans="7:7" x14ac:dyDescent="0.2">
      <c r="G353"/>
    </row>
    <row r="354" spans="7:7" x14ac:dyDescent="0.2">
      <c r="G354"/>
    </row>
    <row r="355" spans="7:7" x14ac:dyDescent="0.2">
      <c r="G355"/>
    </row>
    <row r="356" spans="7:7" x14ac:dyDescent="0.2">
      <c r="G356"/>
    </row>
    <row r="357" spans="7:7" x14ac:dyDescent="0.2">
      <c r="G357"/>
    </row>
    <row r="358" spans="7:7" x14ac:dyDescent="0.2">
      <c r="G358"/>
    </row>
    <row r="359" spans="7:7" x14ac:dyDescent="0.2">
      <c r="G359"/>
    </row>
    <row r="360" spans="7:7" x14ac:dyDescent="0.2">
      <c r="G360"/>
    </row>
    <row r="361" spans="7:7" x14ac:dyDescent="0.2">
      <c r="G361"/>
    </row>
    <row r="362" spans="7:7" x14ac:dyDescent="0.2">
      <c r="G362"/>
    </row>
    <row r="363" spans="7:7" x14ac:dyDescent="0.2">
      <c r="G363"/>
    </row>
    <row r="364" spans="7:7" x14ac:dyDescent="0.2">
      <c r="G364"/>
    </row>
    <row r="365" spans="7:7" x14ac:dyDescent="0.2">
      <c r="G365"/>
    </row>
    <row r="366" spans="7:7" x14ac:dyDescent="0.2">
      <c r="G366"/>
    </row>
    <row r="367" spans="7:7" x14ac:dyDescent="0.2">
      <c r="G367"/>
    </row>
    <row r="368" spans="7:7" x14ac:dyDescent="0.2">
      <c r="G368"/>
    </row>
    <row r="369" spans="7:7" x14ac:dyDescent="0.2">
      <c r="G369"/>
    </row>
    <row r="370" spans="7:7" x14ac:dyDescent="0.2">
      <c r="G370"/>
    </row>
    <row r="371" spans="7:7" x14ac:dyDescent="0.2">
      <c r="G371"/>
    </row>
    <row r="372" spans="7:7" x14ac:dyDescent="0.2">
      <c r="G3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A9B5F-0480-1549-BF37-A39E03338A40}">
  <dimension ref="A1:J182"/>
  <sheetViews>
    <sheetView rightToLeft="1" zoomScale="400" zoomScaleNormal="370" workbookViewId="0">
      <selection sqref="A1:XFD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974</v>
      </c>
      <c r="B1" s="29"/>
      <c r="C1" s="29"/>
      <c r="D1" s="29"/>
      <c r="E1" s="29"/>
      <c r="F1" s="29"/>
      <c r="G1" s="29"/>
      <c r="H1" s="143">
        <v>45648</v>
      </c>
    </row>
    <row r="3" spans="1:8" x14ac:dyDescent="0.2">
      <c r="A3" s="2" t="s">
        <v>453</v>
      </c>
    </row>
    <row r="4" spans="1:8" x14ac:dyDescent="0.2">
      <c r="A4" s="1" t="s">
        <v>975</v>
      </c>
    </row>
    <row r="5" spans="1:8" x14ac:dyDescent="0.2">
      <c r="A5" s="1" t="s">
        <v>976</v>
      </c>
    </row>
    <row r="7" spans="1:8" x14ac:dyDescent="0.2">
      <c r="A7" s="2" t="s">
        <v>679</v>
      </c>
    </row>
    <row r="8" spans="1:8" x14ac:dyDescent="0.2">
      <c r="A8" s="1" t="s">
        <v>977</v>
      </c>
    </row>
    <row r="9" spans="1:8" x14ac:dyDescent="0.2">
      <c r="A9" s="1" t="s">
        <v>978</v>
      </c>
    </row>
    <row r="10" spans="1:8" ht="17" thickBot="1" x14ac:dyDescent="0.25"/>
    <row r="11" spans="1:8" ht="17" thickBot="1" x14ac:dyDescent="0.25">
      <c r="A11" s="3" t="s">
        <v>979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980</v>
      </c>
    </row>
    <row r="13" spans="1:8" x14ac:dyDescent="0.2">
      <c r="A13" s="1" t="s">
        <v>981</v>
      </c>
    </row>
    <row r="14" spans="1:8" x14ac:dyDescent="0.2">
      <c r="A14" s="1" t="s">
        <v>982</v>
      </c>
    </row>
    <row r="15" spans="1:8" x14ac:dyDescent="0.2">
      <c r="A15" s="1" t="s">
        <v>983</v>
      </c>
    </row>
    <row r="16" spans="1:8" x14ac:dyDescent="0.2">
      <c r="A16" s="1" t="s">
        <v>984</v>
      </c>
    </row>
    <row r="17" spans="1:8" x14ac:dyDescent="0.2">
      <c r="A17" s="1" t="s">
        <v>985</v>
      </c>
    </row>
    <row r="22" spans="1:8" x14ac:dyDescent="0.2">
      <c r="G22" s="1" t="s">
        <v>989</v>
      </c>
    </row>
    <row r="23" spans="1:8" x14ac:dyDescent="0.2">
      <c r="G23" s="1" t="s">
        <v>986</v>
      </c>
    </row>
    <row r="24" spans="1:8" x14ac:dyDescent="0.2">
      <c r="G24" s="1" t="s">
        <v>987</v>
      </c>
    </row>
    <row r="25" spans="1:8" x14ac:dyDescent="0.2">
      <c r="G25" s="1" t="s">
        <v>988</v>
      </c>
    </row>
    <row r="28" spans="1:8" ht="17" thickBot="1" x14ac:dyDescent="0.25"/>
    <row r="29" spans="1:8" ht="17" thickBot="1" x14ac:dyDescent="0.25">
      <c r="A29" s="3" t="s">
        <v>990</v>
      </c>
      <c r="B29" s="6"/>
      <c r="C29" s="6"/>
      <c r="D29" s="6"/>
      <c r="E29" s="6"/>
      <c r="F29" s="6"/>
      <c r="G29" s="6"/>
      <c r="H29" s="7"/>
    </row>
    <row r="30" spans="1:8" x14ac:dyDescent="0.2">
      <c r="A30" s="1" t="s">
        <v>991</v>
      </c>
    </row>
    <row r="32" spans="1:8" x14ac:dyDescent="0.2">
      <c r="A32" s="1" t="s">
        <v>992</v>
      </c>
    </row>
    <row r="33" spans="1:8" x14ac:dyDescent="0.2">
      <c r="A33" s="1" t="s">
        <v>993</v>
      </c>
    </row>
    <row r="34" spans="1:8" ht="17" thickBot="1" x14ac:dyDescent="0.25"/>
    <row r="35" spans="1:8" ht="17" thickBot="1" x14ac:dyDescent="0.25">
      <c r="A35" s="3" t="s">
        <v>1045</v>
      </c>
      <c r="B35" s="4"/>
      <c r="C35" s="4"/>
      <c r="D35" s="4"/>
      <c r="E35" s="4"/>
      <c r="F35" s="4"/>
      <c r="G35" s="4"/>
      <c r="H35" s="5"/>
    </row>
    <row r="36" spans="1:8" x14ac:dyDescent="0.2">
      <c r="A36" s="1" t="s">
        <v>994</v>
      </c>
    </row>
    <row r="37" spans="1:8" x14ac:dyDescent="0.2">
      <c r="A37" s="1" t="s">
        <v>1002</v>
      </c>
    </row>
    <row r="38" spans="1:8" ht="17" thickBot="1" x14ac:dyDescent="0.25">
      <c r="A38" s="1" t="s">
        <v>723</v>
      </c>
    </row>
    <row r="39" spans="1:8" x14ac:dyDescent="0.2">
      <c r="A39" s="1" t="s">
        <v>995</v>
      </c>
      <c r="E39" s="216" t="s">
        <v>997</v>
      </c>
      <c r="F39" s="217"/>
      <c r="G39" s="217"/>
      <c r="H39" s="218"/>
    </row>
    <row r="40" spans="1:8" ht="17" thickBot="1" x14ac:dyDescent="0.25">
      <c r="A40" s="1" t="s">
        <v>996</v>
      </c>
      <c r="E40" s="219"/>
      <c r="F40" s="220"/>
      <c r="G40" s="220"/>
      <c r="H40" s="221"/>
    </row>
    <row r="42" spans="1:8" x14ac:dyDescent="0.2">
      <c r="A42" s="1" t="s">
        <v>999</v>
      </c>
    </row>
    <row r="43" spans="1:8" x14ac:dyDescent="0.2">
      <c r="B43" s="1" t="s">
        <v>1000</v>
      </c>
    </row>
    <row r="44" spans="1:8" x14ac:dyDescent="0.2">
      <c r="B44" s="1" t="s">
        <v>1001</v>
      </c>
      <c r="D44" s="12" t="s">
        <v>410</v>
      </c>
      <c r="E44" s="12"/>
      <c r="F44" s="12"/>
      <c r="G44" s="12"/>
      <c r="H44" s="12" t="s">
        <v>998</v>
      </c>
    </row>
    <row r="45" spans="1:8" x14ac:dyDescent="0.2">
      <c r="B45" s="12"/>
      <c r="C45" s="12"/>
      <c r="D45" s="12">
        <v>1</v>
      </c>
      <c r="E45" s="12">
        <v>0.75</v>
      </c>
      <c r="F45" s="12">
        <v>0.5</v>
      </c>
      <c r="G45" s="12">
        <v>0.25</v>
      </c>
      <c r="H45" s="12">
        <v>0</v>
      </c>
    </row>
    <row r="46" spans="1:8" x14ac:dyDescent="0.2">
      <c r="B46" s="12"/>
      <c r="C46" s="12" t="s">
        <v>1003</v>
      </c>
      <c r="D46" s="12"/>
      <c r="E46" s="12"/>
      <c r="F46" s="12"/>
      <c r="G46" s="12"/>
      <c r="H46" s="12"/>
    </row>
    <row r="47" spans="1:8" x14ac:dyDescent="0.2">
      <c r="B47" s="12"/>
      <c r="C47" s="12"/>
      <c r="D47" s="12"/>
      <c r="E47" s="12"/>
      <c r="F47" s="12"/>
      <c r="G47" s="12"/>
      <c r="H47" s="12">
        <v>100</v>
      </c>
    </row>
    <row r="48" spans="1:8" x14ac:dyDescent="0.2">
      <c r="B48" s="12"/>
      <c r="C48" s="12"/>
      <c r="D48" s="12"/>
      <c r="E48" s="12"/>
      <c r="F48" s="12"/>
      <c r="G48" s="12"/>
      <c r="H48" s="12"/>
    </row>
    <row r="51" spans="1:8" x14ac:dyDescent="0.2">
      <c r="A51" s="1" t="s">
        <v>1004</v>
      </c>
    </row>
    <row r="52" spans="1:8" x14ac:dyDescent="0.2">
      <c r="A52" s="1" t="s">
        <v>1005</v>
      </c>
    </row>
    <row r="53" spans="1:8" x14ac:dyDescent="0.2">
      <c r="A53" s="1" t="s">
        <v>1008</v>
      </c>
    </row>
    <row r="55" spans="1:8" x14ac:dyDescent="0.2">
      <c r="A55" s="1" t="s">
        <v>1006</v>
      </c>
    </row>
    <row r="56" spans="1:8" x14ac:dyDescent="0.2">
      <c r="A56" s="1" t="s">
        <v>1007</v>
      </c>
      <c r="H56" s="1" t="s">
        <v>1009</v>
      </c>
    </row>
    <row r="58" spans="1:8" x14ac:dyDescent="0.2">
      <c r="A58" s="1" t="s">
        <v>1010</v>
      </c>
    </row>
    <row r="59" spans="1:8" x14ac:dyDescent="0.2">
      <c r="A59" s="1" t="s">
        <v>1011</v>
      </c>
    </row>
    <row r="61" spans="1:8" x14ac:dyDescent="0.2">
      <c r="A61" s="1" t="s">
        <v>1012</v>
      </c>
      <c r="F61" s="1">
        <v>110.3812891</v>
      </c>
      <c r="H61" s="1" t="s">
        <v>1013</v>
      </c>
    </row>
    <row r="63" spans="1:8" x14ac:dyDescent="0.2">
      <c r="A63" s="1" t="s">
        <v>1014</v>
      </c>
      <c r="E63" s="1" t="s">
        <v>1015</v>
      </c>
      <c r="F63" s="1">
        <f>F61</f>
        <v>110.3812891</v>
      </c>
    </row>
    <row r="64" spans="1:8" x14ac:dyDescent="0.2">
      <c r="E64" s="1" t="s">
        <v>1016</v>
      </c>
      <c r="F64" s="1">
        <v>100</v>
      </c>
    </row>
    <row r="65" spans="1:8" x14ac:dyDescent="0.2">
      <c r="E65" s="1" t="s">
        <v>1017</v>
      </c>
      <c r="F65" s="1">
        <f>F63-F64</f>
        <v>10.381289100000004</v>
      </c>
      <c r="H65" s="1" t="s">
        <v>1018</v>
      </c>
    </row>
    <row r="67" spans="1:8" x14ac:dyDescent="0.2">
      <c r="A67" s="1" t="s">
        <v>1019</v>
      </c>
      <c r="F67" s="146">
        <f>F65/F64</f>
        <v>0.10381289100000003</v>
      </c>
      <c r="H67" s="1" t="s">
        <v>1020</v>
      </c>
    </row>
    <row r="69" spans="1:8" x14ac:dyDescent="0.2">
      <c r="A69" s="1" t="s">
        <v>1021</v>
      </c>
    </row>
    <row r="72" spans="1:8" x14ac:dyDescent="0.2">
      <c r="A72" s="2" t="s">
        <v>1022</v>
      </c>
    </row>
    <row r="74" spans="1:8" x14ac:dyDescent="0.2">
      <c r="D74" s="1" t="s">
        <v>1025</v>
      </c>
      <c r="F74" s="1" t="s">
        <v>1024</v>
      </c>
    </row>
    <row r="75" spans="1:8" x14ac:dyDescent="0.2">
      <c r="D75" s="1" t="s">
        <v>1026</v>
      </c>
      <c r="H75" s="1" t="s">
        <v>1023</v>
      </c>
    </row>
    <row r="77" spans="1:8" x14ac:dyDescent="0.2">
      <c r="B77" s="1" t="s">
        <v>1027</v>
      </c>
    </row>
    <row r="78" spans="1:8" x14ac:dyDescent="0.2">
      <c r="B78" s="1" t="s">
        <v>1028</v>
      </c>
    </row>
    <row r="80" spans="1:8" x14ac:dyDescent="0.2">
      <c r="E80" s="212" t="s">
        <v>1029</v>
      </c>
      <c r="F80" s="212"/>
    </row>
    <row r="82" spans="1:3" x14ac:dyDescent="0.2">
      <c r="B82" s="1" t="s">
        <v>1030</v>
      </c>
    </row>
    <row r="83" spans="1:3" x14ac:dyDescent="0.2">
      <c r="B83" s="1" t="s">
        <v>1031</v>
      </c>
    </row>
    <row r="86" spans="1:3" x14ac:dyDescent="0.2">
      <c r="B86" s="1" t="s">
        <v>1032</v>
      </c>
    </row>
    <row r="89" spans="1:3" x14ac:dyDescent="0.2">
      <c r="B89" s="1" t="s">
        <v>1033</v>
      </c>
    </row>
    <row r="92" spans="1:3" x14ac:dyDescent="0.2">
      <c r="B92" s="1" t="s">
        <v>999</v>
      </c>
    </row>
    <row r="93" spans="1:3" x14ac:dyDescent="0.2">
      <c r="A93" s="1" t="s">
        <v>1038</v>
      </c>
      <c r="C93" s="1" t="s">
        <v>1034</v>
      </c>
    </row>
    <row r="94" spans="1:3" x14ac:dyDescent="0.2">
      <c r="A94" s="1" t="s">
        <v>1039</v>
      </c>
      <c r="C94" s="1" t="s">
        <v>1035</v>
      </c>
    </row>
    <row r="95" spans="1:3" x14ac:dyDescent="0.2">
      <c r="C95" s="1" t="s">
        <v>1036</v>
      </c>
    </row>
    <row r="96" spans="1:3" x14ac:dyDescent="0.2">
      <c r="C96" s="1" t="s">
        <v>1037</v>
      </c>
    </row>
    <row r="103" spans="1:8" x14ac:dyDescent="0.2">
      <c r="F103" s="1" t="s">
        <v>1040</v>
      </c>
    </row>
    <row r="104" spans="1:8" x14ac:dyDescent="0.2">
      <c r="F104" s="1" t="s">
        <v>1041</v>
      </c>
    </row>
    <row r="105" spans="1:8" x14ac:dyDescent="0.2">
      <c r="F105" s="1" t="s">
        <v>1042</v>
      </c>
    </row>
    <row r="108" spans="1:8" x14ac:dyDescent="0.2">
      <c r="E108" s="1" t="s">
        <v>1040</v>
      </c>
    </row>
    <row r="109" spans="1:8" x14ac:dyDescent="0.2">
      <c r="E109" s="1" t="s">
        <v>1043</v>
      </c>
    </row>
    <row r="110" spans="1:8" x14ac:dyDescent="0.2">
      <c r="E110" s="1" t="s">
        <v>1044</v>
      </c>
    </row>
    <row r="111" spans="1:8" ht="17" thickBot="1" x14ac:dyDescent="0.25"/>
    <row r="112" spans="1:8" ht="17" thickBot="1" x14ac:dyDescent="0.25">
      <c r="A112" s="3" t="s">
        <v>1046</v>
      </c>
      <c r="B112" s="4"/>
      <c r="C112" s="4"/>
      <c r="D112" s="4"/>
      <c r="E112" s="4"/>
      <c r="F112" s="4"/>
      <c r="G112" s="4"/>
      <c r="H112" s="5"/>
    </row>
    <row r="113" spans="1:10" x14ac:dyDescent="0.2">
      <c r="A113" s="1" t="s">
        <v>1047</v>
      </c>
    </row>
    <row r="114" spans="1:10" x14ac:dyDescent="0.2">
      <c r="A114" s="1" t="s">
        <v>1048</v>
      </c>
      <c r="J114" s="1" t="s">
        <v>1049</v>
      </c>
    </row>
    <row r="115" spans="1:10" x14ac:dyDescent="0.2">
      <c r="A115" s="1" t="s">
        <v>1050</v>
      </c>
      <c r="H115" s="103">
        <f>(1+1%)^24-1</f>
        <v>0.26973464853191498</v>
      </c>
      <c r="J115" s="1" t="s">
        <v>1051</v>
      </c>
    </row>
    <row r="116" spans="1:10" x14ac:dyDescent="0.2">
      <c r="A116" s="1" t="s">
        <v>1052</v>
      </c>
      <c r="H116" s="103">
        <f>(1+10%/2)^3-1</f>
        <v>0.15762500000000013</v>
      </c>
      <c r="J116" s="1" t="s">
        <v>1057</v>
      </c>
    </row>
    <row r="117" spans="1:10" x14ac:dyDescent="0.2">
      <c r="A117" s="1" t="s">
        <v>1053</v>
      </c>
      <c r="H117" s="103">
        <f>(1+3%)^4-1</f>
        <v>0.12550880999999992</v>
      </c>
      <c r="J117" s="1" t="s">
        <v>1056</v>
      </c>
    </row>
    <row r="118" spans="1:10" x14ac:dyDescent="0.2">
      <c r="A118" s="1" t="s">
        <v>1054</v>
      </c>
      <c r="H118" s="103">
        <f>(1+1%)^36-1</f>
        <v>0.43076878359158099</v>
      </c>
      <c r="J118" s="1" t="s">
        <v>1055</v>
      </c>
    </row>
    <row r="122" spans="1:10" x14ac:dyDescent="0.2">
      <c r="B122" s="1" t="s">
        <v>999</v>
      </c>
    </row>
    <row r="123" spans="1:10" x14ac:dyDescent="0.2">
      <c r="A123" s="1" t="s">
        <v>1038</v>
      </c>
      <c r="C123" s="1" t="s">
        <v>1034</v>
      </c>
    </row>
    <row r="124" spans="1:10" x14ac:dyDescent="0.2">
      <c r="A124" s="1" t="s">
        <v>1039</v>
      </c>
      <c r="C124" s="1" t="s">
        <v>1035</v>
      </c>
    </row>
    <row r="125" spans="1:10" x14ac:dyDescent="0.2">
      <c r="C125" s="1" t="s">
        <v>1036</v>
      </c>
    </row>
    <row r="126" spans="1:10" x14ac:dyDescent="0.2">
      <c r="C126" s="1" t="s">
        <v>1037</v>
      </c>
    </row>
    <row r="127" spans="1:10" ht="17" thickBot="1" x14ac:dyDescent="0.25"/>
    <row r="128" spans="1:10" ht="17" thickBot="1" x14ac:dyDescent="0.25">
      <c r="A128" s="3" t="s">
        <v>1058</v>
      </c>
      <c r="B128" s="4"/>
      <c r="C128" s="4"/>
      <c r="D128" s="4"/>
      <c r="E128" s="4"/>
      <c r="F128" s="4"/>
      <c r="G128" s="4"/>
      <c r="H128" s="5"/>
    </row>
    <row r="129" spans="1:9" x14ac:dyDescent="0.2">
      <c r="A129" s="1" t="s">
        <v>1059</v>
      </c>
    </row>
    <row r="130" spans="1:9" x14ac:dyDescent="0.2">
      <c r="A130" s="1" t="s">
        <v>1064</v>
      </c>
      <c r="G130" s="145">
        <f>(1 + 10%/4)^4 - 1</f>
        <v>0.10381289062499977</v>
      </c>
      <c r="I130" s="1" t="s">
        <v>1067</v>
      </c>
    </row>
    <row r="131" spans="1:9" x14ac:dyDescent="0.2">
      <c r="A131" s="1" t="s">
        <v>1065</v>
      </c>
      <c r="G131" s="145">
        <f>(1 + 12%/12)^8 - 1</f>
        <v>8.2856705628080229E-2</v>
      </c>
      <c r="I131" s="1" t="s">
        <v>1068</v>
      </c>
    </row>
    <row r="132" spans="1:9" x14ac:dyDescent="0.2">
      <c r="A132" s="1" t="s">
        <v>1066</v>
      </c>
      <c r="G132" s="145">
        <f>(1 + 8%/4)^8 - 1</f>
        <v>0.17165938100226552</v>
      </c>
      <c r="I132" s="1" t="s">
        <v>1069</v>
      </c>
    </row>
    <row r="133" spans="1:9" x14ac:dyDescent="0.2">
      <c r="A133" s="1" t="s">
        <v>1070</v>
      </c>
      <c r="G133" s="145">
        <f>(1 + 6%/3)^24 - 1</f>
        <v>0.60843724947522504</v>
      </c>
      <c r="I133" s="1" t="s">
        <v>1071</v>
      </c>
    </row>
    <row r="135" spans="1:9" x14ac:dyDescent="0.2">
      <c r="A135" s="1" t="s">
        <v>1060</v>
      </c>
    </row>
    <row r="136" spans="1:9" x14ac:dyDescent="0.2">
      <c r="A136" s="1" t="s">
        <v>1061</v>
      </c>
    </row>
    <row r="137" spans="1:9" ht="17" thickBot="1" x14ac:dyDescent="0.25"/>
    <row r="138" spans="1:9" s="2" customFormat="1" ht="17" thickBot="1" x14ac:dyDescent="0.25">
      <c r="A138" s="3" t="s">
        <v>1062</v>
      </c>
      <c r="B138" s="4"/>
      <c r="C138" s="4"/>
      <c r="D138" s="4"/>
      <c r="E138" s="4"/>
      <c r="F138" s="4"/>
      <c r="G138" s="4"/>
      <c r="H138" s="5"/>
    </row>
    <row r="139" spans="1:9" x14ac:dyDescent="0.2">
      <c r="A139" s="1" t="s">
        <v>1063</v>
      </c>
    </row>
    <row r="140" spans="1:9" x14ac:dyDescent="0.2">
      <c r="A140" s="1" t="s">
        <v>1076</v>
      </c>
      <c r="G140" s="111">
        <f>(1+10%/4)^4-1</f>
        <v>0.10381289062499977</v>
      </c>
      <c r="I140" s="1" t="s">
        <v>1067</v>
      </c>
    </row>
    <row r="141" spans="1:9" x14ac:dyDescent="0.2">
      <c r="A141" s="1" t="s">
        <v>1077</v>
      </c>
      <c r="G141" s="144">
        <f>(1 + 11%/1)^1 - 1</f>
        <v>0.1100000000000001</v>
      </c>
      <c r="I141" s="1" t="s">
        <v>1078</v>
      </c>
    </row>
    <row r="142" spans="1:9" x14ac:dyDescent="0.2">
      <c r="A142" s="1" t="s">
        <v>1079</v>
      </c>
      <c r="G142" s="144">
        <f>(1 + 6%/6)^12 - 1</f>
        <v>0.12682503013196977</v>
      </c>
      <c r="I142" s="1" t="s">
        <v>1080</v>
      </c>
    </row>
    <row r="143" spans="1:9" x14ac:dyDescent="0.2">
      <c r="A143" s="1" t="s">
        <v>1081</v>
      </c>
      <c r="G143" s="144">
        <f>(1 + 3%/0.5)^2 - 1</f>
        <v>0.12360000000000015</v>
      </c>
      <c r="I143" s="1" t="s">
        <v>1082</v>
      </c>
    </row>
    <row r="145" spans="1:8" x14ac:dyDescent="0.2">
      <c r="A145" s="1" t="s">
        <v>1075</v>
      </c>
    </row>
    <row r="147" spans="1:8" x14ac:dyDescent="0.2">
      <c r="E147" s="1" t="s">
        <v>1038</v>
      </c>
      <c r="G147" s="1" t="s">
        <v>1034</v>
      </c>
    </row>
    <row r="148" spans="1:8" x14ac:dyDescent="0.2">
      <c r="E148" s="1" t="s">
        <v>1039</v>
      </c>
      <c r="G148" s="1" t="s">
        <v>1035</v>
      </c>
    </row>
    <row r="149" spans="1:8" x14ac:dyDescent="0.2">
      <c r="G149" s="1" t="s">
        <v>1036</v>
      </c>
    </row>
    <row r="150" spans="1:8" x14ac:dyDescent="0.2">
      <c r="G150" s="1" t="s">
        <v>1037</v>
      </c>
    </row>
    <row r="152" spans="1:8" x14ac:dyDescent="0.2">
      <c r="A152" s="1" t="s">
        <v>1072</v>
      </c>
    </row>
    <row r="153" spans="1:8" x14ac:dyDescent="0.2">
      <c r="A153" s="1" t="s">
        <v>1073</v>
      </c>
    </row>
    <row r="154" spans="1:8" x14ac:dyDescent="0.2">
      <c r="A154" s="1" t="s">
        <v>1074</v>
      </c>
    </row>
    <row r="155" spans="1:8" ht="17" thickBot="1" x14ac:dyDescent="0.25"/>
    <row r="156" spans="1:8" x14ac:dyDescent="0.2">
      <c r="A156" s="30" t="s">
        <v>1084</v>
      </c>
      <c r="B156" s="31"/>
      <c r="C156" s="31"/>
      <c r="D156" s="31"/>
      <c r="E156" s="31"/>
      <c r="F156" s="31"/>
      <c r="G156" s="31"/>
      <c r="H156" s="23"/>
    </row>
    <row r="157" spans="1:8" ht="17" thickBot="1" x14ac:dyDescent="0.25">
      <c r="A157" s="26" t="s">
        <v>1083</v>
      </c>
      <c r="B157" s="27"/>
      <c r="C157" s="27"/>
      <c r="D157" s="27"/>
      <c r="E157" s="27"/>
      <c r="F157" s="27"/>
      <c r="G157" s="27"/>
      <c r="H157" s="28"/>
    </row>
    <row r="158" spans="1:8" ht="17" thickBot="1" x14ac:dyDescent="0.25"/>
    <row r="159" spans="1:8" s="2" customFormat="1" ht="17" thickBot="1" x14ac:dyDescent="0.25">
      <c r="A159" s="3" t="s">
        <v>1085</v>
      </c>
      <c r="B159" s="4"/>
      <c r="C159" s="4"/>
      <c r="D159" s="4"/>
      <c r="E159" s="4"/>
      <c r="F159" s="4"/>
      <c r="G159" s="4"/>
      <c r="H159" s="5"/>
    </row>
    <row r="160" spans="1:8" x14ac:dyDescent="0.2">
      <c r="A160" s="1" t="s">
        <v>1086</v>
      </c>
    </row>
    <row r="161" spans="1:8" x14ac:dyDescent="0.2">
      <c r="A161" s="1" t="s">
        <v>1087</v>
      </c>
    </row>
    <row r="162" spans="1:8" x14ac:dyDescent="0.2">
      <c r="A162" s="1" t="s">
        <v>1088</v>
      </c>
      <c r="F162" s="145">
        <f>(1 + 8%/2)^2 - 1</f>
        <v>8.1600000000000117E-2</v>
      </c>
      <c r="G162" s="144"/>
      <c r="H162" s="1" t="s">
        <v>1093</v>
      </c>
    </row>
    <row r="163" spans="1:8" x14ac:dyDescent="0.2">
      <c r="A163" s="1" t="s">
        <v>1090</v>
      </c>
      <c r="F163" s="145">
        <f>(1 + 21%/36)^12 - 1</f>
        <v>7.2290080856235894E-2</v>
      </c>
      <c r="G163" s="144"/>
      <c r="H163" s="1" t="s">
        <v>1094</v>
      </c>
    </row>
    <row r="164" spans="1:8" x14ac:dyDescent="0.2">
      <c r="A164" s="1" t="s">
        <v>1091</v>
      </c>
      <c r="F164" s="145">
        <f>(1 + 4%/3)^6 - 1</f>
        <v>8.2714550682162491E-2</v>
      </c>
      <c r="G164" s="144"/>
      <c r="H164" s="1" t="s">
        <v>1095</v>
      </c>
    </row>
    <row r="165" spans="1:8" x14ac:dyDescent="0.2">
      <c r="A165" s="1" t="s">
        <v>1092</v>
      </c>
      <c r="F165" s="145">
        <f>(1 + 15%/8)^4 - 1</f>
        <v>7.713586578369136E-2</v>
      </c>
      <c r="H165" s="1" t="s">
        <v>1096</v>
      </c>
    </row>
    <row r="167" spans="1:8" x14ac:dyDescent="0.2">
      <c r="A167" s="1" t="s">
        <v>1089</v>
      </c>
    </row>
    <row r="169" spans="1:8" x14ac:dyDescent="0.2">
      <c r="A169" s="1" t="s">
        <v>1097</v>
      </c>
    </row>
    <row r="170" spans="1:8" x14ac:dyDescent="0.2">
      <c r="A170" s="1" t="s">
        <v>1098</v>
      </c>
    </row>
    <row r="171" spans="1:8" x14ac:dyDescent="0.2">
      <c r="A171" s="1" t="s">
        <v>1099</v>
      </c>
    </row>
    <row r="173" spans="1:8" x14ac:dyDescent="0.2">
      <c r="A173" s="2" t="s">
        <v>1100</v>
      </c>
    </row>
    <row r="176" spans="1:8" x14ac:dyDescent="0.2">
      <c r="A176" s="2" t="s">
        <v>155</v>
      </c>
    </row>
    <row r="177" spans="1:1" x14ac:dyDescent="0.2">
      <c r="A177" s="1" t="s">
        <v>1101</v>
      </c>
    </row>
    <row r="178" spans="1:1" x14ac:dyDescent="0.2">
      <c r="A178" s="1" t="s">
        <v>1102</v>
      </c>
    </row>
    <row r="179" spans="1:1" x14ac:dyDescent="0.2">
      <c r="A179" s="1" t="s">
        <v>1103</v>
      </c>
    </row>
    <row r="180" spans="1:1" x14ac:dyDescent="0.2">
      <c r="A180" s="1" t="s">
        <v>1104</v>
      </c>
    </row>
    <row r="181" spans="1:1" x14ac:dyDescent="0.2">
      <c r="A181" s="1" t="s">
        <v>1105</v>
      </c>
    </row>
    <row r="182" spans="1:1" x14ac:dyDescent="0.2">
      <c r="A182" s="1" t="s">
        <v>1106</v>
      </c>
    </row>
  </sheetData>
  <mergeCells count="2">
    <mergeCell ref="E39:H40"/>
    <mergeCell ref="E80:F8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AC80B-0207-F14D-AE37-9BB2BE4D0CF7}">
  <dimension ref="A1:K186"/>
  <sheetViews>
    <sheetView rightToLeft="1" topLeftCell="A187" zoomScale="285" zoomScaleNormal="350" workbookViewId="0">
      <selection activeCell="G136" sqref="G136"/>
    </sheetView>
  </sheetViews>
  <sheetFormatPr baseColWidth="10" defaultRowHeight="16" x14ac:dyDescent="0.2"/>
  <cols>
    <col min="1" max="1" width="11.1640625" style="1" bestFit="1" customWidth="1"/>
    <col min="2" max="3" width="10.83203125" style="1"/>
    <col min="4" max="4" width="11.1640625" style="1" bestFit="1" customWidth="1"/>
    <col min="5" max="5" width="10.83203125" style="1"/>
    <col min="6" max="6" width="12" style="1" customWidth="1"/>
    <col min="7" max="7" width="11.6640625" style="1" bestFit="1" customWidth="1"/>
    <col min="8" max="16384" width="10.83203125" style="1"/>
  </cols>
  <sheetData>
    <row r="1" spans="1:8" x14ac:dyDescent="0.2">
      <c r="A1" s="29" t="s">
        <v>1134</v>
      </c>
      <c r="B1" s="29"/>
      <c r="C1" s="29"/>
      <c r="D1" s="29"/>
      <c r="E1" s="29"/>
      <c r="F1" s="29"/>
      <c r="G1" s="29"/>
      <c r="H1" s="143">
        <v>45655</v>
      </c>
    </row>
    <row r="2" spans="1:8" ht="17" thickBot="1" x14ac:dyDescent="0.25"/>
    <row r="3" spans="1:8" ht="17" thickBot="1" x14ac:dyDescent="0.25">
      <c r="A3" s="106" t="s">
        <v>1125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1126</v>
      </c>
      <c r="B5" s="1" t="s">
        <v>1133</v>
      </c>
      <c r="F5" s="90">
        <v>45655</v>
      </c>
      <c r="G5" s="1" t="s">
        <v>1135</v>
      </c>
    </row>
    <row r="6" spans="1:8" x14ac:dyDescent="0.2">
      <c r="A6" s="1" t="s">
        <v>1127</v>
      </c>
      <c r="B6" s="1" t="s">
        <v>1128</v>
      </c>
      <c r="F6" s="90">
        <v>45662</v>
      </c>
      <c r="G6" s="1" t="s">
        <v>1136</v>
      </c>
    </row>
    <row r="7" spans="1:8" x14ac:dyDescent="0.2">
      <c r="A7" s="1" t="s">
        <v>1129</v>
      </c>
      <c r="B7" s="1" t="s">
        <v>1137</v>
      </c>
      <c r="F7" s="90">
        <v>45669</v>
      </c>
      <c r="G7" s="1" t="s">
        <v>1130</v>
      </c>
    </row>
    <row r="8" spans="1:8" x14ac:dyDescent="0.2">
      <c r="A8" s="1" t="s">
        <v>1131</v>
      </c>
      <c r="B8" s="1" t="s">
        <v>1132</v>
      </c>
      <c r="F8" s="90">
        <v>45690</v>
      </c>
    </row>
    <row r="9" spans="1:8" ht="17" thickBot="1" x14ac:dyDescent="0.25"/>
    <row r="10" spans="1:8" ht="17" thickBot="1" x14ac:dyDescent="0.25">
      <c r="A10" s="106" t="s">
        <v>1138</v>
      </c>
      <c r="B10" s="6"/>
      <c r="C10" s="6"/>
      <c r="D10" s="6"/>
      <c r="E10" s="6"/>
      <c r="F10" s="6"/>
      <c r="G10" s="6"/>
      <c r="H10" s="7"/>
    </row>
    <row r="12" spans="1:8" x14ac:dyDescent="0.2">
      <c r="A12" s="1" t="s">
        <v>1139</v>
      </c>
    </row>
    <row r="13" spans="1:8" x14ac:dyDescent="0.2">
      <c r="A13" s="1" t="s">
        <v>1140</v>
      </c>
    </row>
    <row r="14" spans="1:8" x14ac:dyDescent="0.2">
      <c r="A14" s="1" t="s">
        <v>1141</v>
      </c>
    </row>
    <row r="15" spans="1:8" x14ac:dyDescent="0.2">
      <c r="A15" s="1" t="s">
        <v>1142</v>
      </c>
    </row>
    <row r="16" spans="1:8" x14ac:dyDescent="0.2">
      <c r="A16" s="1" t="s">
        <v>1143</v>
      </c>
    </row>
    <row r="18" spans="1:8" x14ac:dyDescent="0.2">
      <c r="A18" s="1" t="s">
        <v>1144</v>
      </c>
    </row>
    <row r="19" spans="1:8" x14ac:dyDescent="0.2">
      <c r="A19" s="1" t="s">
        <v>1145</v>
      </c>
    </row>
    <row r="20" spans="1:8" x14ac:dyDescent="0.2">
      <c r="A20" s="1" t="s">
        <v>1146</v>
      </c>
    </row>
    <row r="21" spans="1:8" ht="17" thickBot="1" x14ac:dyDescent="0.25"/>
    <row r="22" spans="1:8" ht="17" thickBot="1" x14ac:dyDescent="0.25">
      <c r="A22" s="106" t="s">
        <v>1147</v>
      </c>
      <c r="B22" s="6"/>
      <c r="C22" s="6"/>
      <c r="D22" s="6"/>
      <c r="E22" s="6"/>
      <c r="F22" s="6"/>
      <c r="G22" s="6"/>
      <c r="H22" s="7"/>
    </row>
    <row r="23" spans="1:8" x14ac:dyDescent="0.2">
      <c r="A23" s="1" t="s">
        <v>1148</v>
      </c>
    </row>
    <row r="24" spans="1:8" x14ac:dyDescent="0.2">
      <c r="A24" s="1" t="s">
        <v>1149</v>
      </c>
    </row>
    <row r="25" spans="1:8" x14ac:dyDescent="0.2">
      <c r="A25" s="1" t="s">
        <v>1150</v>
      </c>
    </row>
    <row r="26" spans="1:8" x14ac:dyDescent="0.2">
      <c r="A26" s="1" t="s">
        <v>1151</v>
      </c>
    </row>
    <row r="27" spans="1:8" x14ac:dyDescent="0.2">
      <c r="A27" s="1" t="s">
        <v>1152</v>
      </c>
    </row>
    <row r="28" spans="1:8" x14ac:dyDescent="0.2">
      <c r="A28" s="1" t="s">
        <v>1153</v>
      </c>
    </row>
    <row r="30" spans="1:8" x14ac:dyDescent="0.2">
      <c r="A30" s="222" t="s">
        <v>1154</v>
      </c>
      <c r="B30" s="222"/>
      <c r="C30" s="222"/>
      <c r="D30" s="222"/>
      <c r="E30" s="223" t="s">
        <v>1158</v>
      </c>
      <c r="F30" s="223"/>
      <c r="G30" s="223"/>
      <c r="H30" s="223"/>
    </row>
    <row r="31" spans="1:8" x14ac:dyDescent="0.2">
      <c r="A31" s="149" t="s">
        <v>1155</v>
      </c>
      <c r="B31" s="149" t="s">
        <v>1156</v>
      </c>
      <c r="C31" s="149" t="s">
        <v>1157</v>
      </c>
      <c r="D31" s="149" t="s">
        <v>1178</v>
      </c>
      <c r="E31" s="149" t="s">
        <v>1155</v>
      </c>
      <c r="F31" s="149" t="s">
        <v>1156</v>
      </c>
      <c r="G31" s="149" t="s">
        <v>1157</v>
      </c>
      <c r="H31" s="149" t="s">
        <v>1178</v>
      </c>
    </row>
    <row r="32" spans="1:8" x14ac:dyDescent="0.2">
      <c r="A32" s="149">
        <v>0</v>
      </c>
      <c r="B32" s="150"/>
      <c r="C32" s="150"/>
      <c r="D32" s="151">
        <v>400000</v>
      </c>
      <c r="E32" s="149">
        <v>0</v>
      </c>
      <c r="F32" s="150"/>
      <c r="G32" s="150"/>
      <c r="H32" s="151">
        <v>400000</v>
      </c>
    </row>
    <row r="33" spans="1:9" x14ac:dyDescent="0.2">
      <c r="A33" s="149">
        <v>1</v>
      </c>
      <c r="B33" s="151">
        <f>400000/5</f>
        <v>80000</v>
      </c>
      <c r="C33" s="151">
        <f>10%*400000</f>
        <v>40000</v>
      </c>
      <c r="D33" s="151">
        <f>400000-80000</f>
        <v>320000</v>
      </c>
      <c r="E33" s="149">
        <v>1</v>
      </c>
      <c r="F33" s="151">
        <f>-G51-40000</f>
        <v>65518.992317898155</v>
      </c>
      <c r="G33" s="151">
        <f>400000*10%</f>
        <v>40000</v>
      </c>
      <c r="H33" s="151">
        <f>H32-F33</f>
        <v>334481.00768210186</v>
      </c>
    </row>
    <row r="34" spans="1:9" x14ac:dyDescent="0.2">
      <c r="A34" s="149">
        <v>2</v>
      </c>
      <c r="B34" s="151">
        <f>B33</f>
        <v>80000</v>
      </c>
      <c r="C34" s="151">
        <f>10%*D33</f>
        <v>32000</v>
      </c>
      <c r="D34" s="151">
        <f>320000-80000</f>
        <v>240000</v>
      </c>
      <c r="E34" s="149">
        <v>2</v>
      </c>
      <c r="F34" s="151">
        <f>-G51-G34</f>
        <v>72070.891549687978</v>
      </c>
      <c r="G34" s="151">
        <f>H33*10%</f>
        <v>33448.100768210184</v>
      </c>
      <c r="H34" s="151">
        <f>H33-F34</f>
        <v>262410.11613241385</v>
      </c>
    </row>
    <row r="35" spans="1:9" x14ac:dyDescent="0.2">
      <c r="A35" s="149">
        <v>3</v>
      </c>
      <c r="B35" s="151">
        <f>B34</f>
        <v>80000</v>
      </c>
      <c r="C35" s="151">
        <f t="shared" ref="C35:C37" si="0">10%*D34</f>
        <v>24000</v>
      </c>
      <c r="D35" s="151">
        <f>D34-B35</f>
        <v>160000</v>
      </c>
      <c r="E35" s="149">
        <v>3</v>
      </c>
      <c r="F35" s="151">
        <f>-G51-G35</f>
        <v>79277.980704656773</v>
      </c>
      <c r="G35" s="151">
        <f>10%*H34</f>
        <v>26241.011613241386</v>
      </c>
      <c r="H35" s="151">
        <f>H34-F35</f>
        <v>183132.13542775708</v>
      </c>
    </row>
    <row r="36" spans="1:9" x14ac:dyDescent="0.2">
      <c r="A36" s="149">
        <v>4</v>
      </c>
      <c r="B36" s="151">
        <f>B35</f>
        <v>80000</v>
      </c>
      <c r="C36" s="151">
        <f t="shared" si="0"/>
        <v>16000</v>
      </c>
      <c r="D36" s="151">
        <f>D35-B36</f>
        <v>80000</v>
      </c>
      <c r="E36" s="149">
        <v>4</v>
      </c>
      <c r="F36" s="151">
        <f>-G51-G36</f>
        <v>87205.778775122453</v>
      </c>
      <c r="G36" s="151">
        <f>10%*H35</f>
        <v>18313.213542775709</v>
      </c>
      <c r="H36" s="151">
        <f t="shared" ref="H36:H37" si="1">H35-F36</f>
        <v>95926.356652634626</v>
      </c>
    </row>
    <row r="37" spans="1:9" x14ac:dyDescent="0.2">
      <c r="A37" s="149">
        <v>5</v>
      </c>
      <c r="B37" s="151">
        <f>B36</f>
        <v>80000</v>
      </c>
      <c r="C37" s="151">
        <f t="shared" si="0"/>
        <v>8000</v>
      </c>
      <c r="D37" s="151">
        <f>D36-B37</f>
        <v>0</v>
      </c>
      <c r="E37" s="149">
        <v>5</v>
      </c>
      <c r="F37" s="151">
        <f>-G51-G37</f>
        <v>95926.356652634699</v>
      </c>
      <c r="G37" s="151">
        <f>10%*H36</f>
        <v>9592.6356652634622</v>
      </c>
      <c r="H37" s="151">
        <f t="shared" si="1"/>
        <v>0</v>
      </c>
    </row>
    <row r="38" spans="1:9" x14ac:dyDescent="0.2">
      <c r="E38" s="152"/>
      <c r="F38" s="152"/>
      <c r="G38" s="152"/>
      <c r="H38" s="152"/>
      <c r="I38" s="152"/>
    </row>
    <row r="39" spans="1:9" x14ac:dyDescent="0.2">
      <c r="A39" s="152"/>
      <c r="B39" s="152"/>
      <c r="C39" s="152"/>
      <c r="D39" s="152"/>
      <c r="E39" s="152"/>
      <c r="F39" s="152"/>
      <c r="G39" s="152"/>
      <c r="H39" s="152"/>
      <c r="I39" s="152"/>
    </row>
    <row r="40" spans="1:9" x14ac:dyDescent="0.2">
      <c r="A40" s="152"/>
      <c r="B40" s="152"/>
      <c r="C40" s="152"/>
      <c r="D40" s="152"/>
      <c r="E40" s="152"/>
      <c r="F40" s="152"/>
      <c r="G40" s="152"/>
      <c r="H40" s="152"/>
      <c r="I40" s="152"/>
    </row>
    <row r="41" spans="1:9" x14ac:dyDescent="0.2">
      <c r="A41" s="152"/>
      <c r="B41" s="152"/>
      <c r="C41" s="152"/>
      <c r="D41" s="152"/>
      <c r="E41" s="152"/>
      <c r="F41" s="152"/>
      <c r="G41" s="152"/>
      <c r="H41" s="152"/>
      <c r="I41" s="152"/>
    </row>
    <row r="42" spans="1:9" x14ac:dyDescent="0.2">
      <c r="A42" s="152"/>
      <c r="B42" s="152"/>
      <c r="C42" s="152"/>
      <c r="D42" s="152"/>
      <c r="E42" s="152"/>
      <c r="F42" s="152"/>
      <c r="G42" s="152"/>
      <c r="H42" s="152"/>
      <c r="I42" s="152"/>
    </row>
    <row r="43" spans="1:9" x14ac:dyDescent="0.2">
      <c r="A43" s="152"/>
      <c r="B43" s="152"/>
      <c r="C43" s="152"/>
      <c r="D43" s="152"/>
      <c r="E43" s="152"/>
      <c r="F43" s="152"/>
      <c r="G43" s="152"/>
      <c r="H43" s="152"/>
      <c r="I43" s="152"/>
    </row>
    <row r="44" spans="1:9" x14ac:dyDescent="0.2">
      <c r="A44" s="152"/>
      <c r="B44" s="152"/>
      <c r="C44" s="152"/>
      <c r="D44" s="152"/>
      <c r="E44" s="152"/>
      <c r="F44" s="152"/>
      <c r="G44" s="152"/>
      <c r="H44" s="152"/>
      <c r="I44" s="152"/>
    </row>
    <row r="46" spans="1:9" x14ac:dyDescent="0.2">
      <c r="A46" s="1" t="s">
        <v>1159</v>
      </c>
      <c r="D46" s="1" t="s">
        <v>1160</v>
      </c>
      <c r="F46" s="1" t="s">
        <v>1168</v>
      </c>
      <c r="H46" s="32" t="s">
        <v>177</v>
      </c>
    </row>
    <row r="47" spans="1:9" x14ac:dyDescent="0.2">
      <c r="A47" s="1" t="s">
        <v>1161</v>
      </c>
      <c r="G47" s="12" t="s">
        <v>179</v>
      </c>
      <c r="H47" s="1" t="s">
        <v>1169</v>
      </c>
    </row>
    <row r="48" spans="1:9" x14ac:dyDescent="0.2">
      <c r="A48" s="1" t="s">
        <v>1162</v>
      </c>
      <c r="G48" s="12">
        <v>5</v>
      </c>
      <c r="H48" s="1" t="s">
        <v>45</v>
      </c>
    </row>
    <row r="49" spans="1:9" x14ac:dyDescent="0.2">
      <c r="A49" s="1" t="s">
        <v>1163</v>
      </c>
      <c r="G49" s="12">
        <v>10</v>
      </c>
      <c r="H49" s="1" t="s">
        <v>42</v>
      </c>
    </row>
    <row r="50" spans="1:9" x14ac:dyDescent="0.2">
      <c r="B50" s="1" t="s">
        <v>1164</v>
      </c>
      <c r="D50" s="1" t="s">
        <v>1165</v>
      </c>
      <c r="G50" s="12">
        <v>400000</v>
      </c>
      <c r="H50" s="1" t="s">
        <v>39</v>
      </c>
    </row>
    <row r="51" spans="1:9" x14ac:dyDescent="0.2">
      <c r="B51" s="1" t="s">
        <v>1166</v>
      </c>
      <c r="D51" s="1" t="s">
        <v>1167</v>
      </c>
      <c r="G51" s="42">
        <f>PMT(G49/100,G48,G50,G52)</f>
        <v>-105518.99231789816</v>
      </c>
      <c r="H51" s="1" t="s">
        <v>47</v>
      </c>
      <c r="I51" s="1" t="s">
        <v>818</v>
      </c>
    </row>
    <row r="52" spans="1:9" x14ac:dyDescent="0.2">
      <c r="G52" s="12">
        <v>0</v>
      </c>
      <c r="H52" s="1" t="s">
        <v>50</v>
      </c>
    </row>
    <row r="53" spans="1:9" x14ac:dyDescent="0.2">
      <c r="F53" s="1" t="s">
        <v>1170</v>
      </c>
    </row>
    <row r="54" spans="1:9" x14ac:dyDescent="0.2">
      <c r="G54" s="1" t="s">
        <v>1171</v>
      </c>
    </row>
    <row r="55" spans="1:9" x14ac:dyDescent="0.2">
      <c r="G55" s="1" t="s">
        <v>1172</v>
      </c>
    </row>
    <row r="56" spans="1:9" x14ac:dyDescent="0.2">
      <c r="F56" s="1" t="s">
        <v>1173</v>
      </c>
    </row>
    <row r="57" spans="1:9" x14ac:dyDescent="0.2">
      <c r="G57" s="1" t="s">
        <v>1174</v>
      </c>
    </row>
    <row r="58" spans="1:9" x14ac:dyDescent="0.2">
      <c r="G58" s="1" t="s">
        <v>1175</v>
      </c>
    </row>
    <row r="60" spans="1:9" x14ac:dyDescent="0.2">
      <c r="F60" s="1" t="s">
        <v>1176</v>
      </c>
    </row>
    <row r="61" spans="1:9" x14ac:dyDescent="0.2">
      <c r="H61" s="1" t="s">
        <v>1177</v>
      </c>
    </row>
    <row r="63" spans="1:9" x14ac:dyDescent="0.2">
      <c r="F63" s="1" t="s">
        <v>1179</v>
      </c>
    </row>
    <row r="64" spans="1:9" x14ac:dyDescent="0.2">
      <c r="F64" s="1" t="s">
        <v>1180</v>
      </c>
    </row>
    <row r="65" spans="1:8" ht="17" thickBot="1" x14ac:dyDescent="0.25"/>
    <row r="66" spans="1:8" ht="17" thickBot="1" x14ac:dyDescent="0.25">
      <c r="A66" s="106" t="s">
        <v>1181</v>
      </c>
      <c r="B66" s="6"/>
      <c r="C66" s="6"/>
      <c r="D66" s="6"/>
      <c r="E66" s="6"/>
      <c r="F66" s="6"/>
      <c r="G66" s="6"/>
      <c r="H66" s="7"/>
    </row>
    <row r="67" spans="1:8" x14ac:dyDescent="0.2">
      <c r="A67" s="1" t="s">
        <v>1182</v>
      </c>
    </row>
    <row r="68" spans="1:8" x14ac:dyDescent="0.2">
      <c r="A68" s="1" t="s">
        <v>1183</v>
      </c>
    </row>
    <row r="69" spans="1:8" x14ac:dyDescent="0.2">
      <c r="A69" s="1" t="s">
        <v>1184</v>
      </c>
    </row>
    <row r="70" spans="1:8" x14ac:dyDescent="0.2">
      <c r="A70" s="1" t="s">
        <v>1185</v>
      </c>
    </row>
    <row r="71" spans="1:8" x14ac:dyDescent="0.2">
      <c r="A71" s="1" t="s">
        <v>1186</v>
      </c>
    </row>
    <row r="72" spans="1:8" x14ac:dyDescent="0.2">
      <c r="A72" s="1" t="s">
        <v>1187</v>
      </c>
    </row>
    <row r="73" spans="1:8" x14ac:dyDescent="0.2">
      <c r="A73" s="1" t="s">
        <v>1188</v>
      </c>
    </row>
    <row r="75" spans="1:8" x14ac:dyDescent="0.2">
      <c r="A75" s="1" t="s">
        <v>27</v>
      </c>
    </row>
    <row r="77" spans="1:8" x14ac:dyDescent="0.2">
      <c r="A77" s="1" t="s">
        <v>1189</v>
      </c>
      <c r="E77" s="1">
        <f>20*12</f>
        <v>240</v>
      </c>
      <c r="F77" s="33" t="s">
        <v>1190</v>
      </c>
    </row>
    <row r="78" spans="1:8" x14ac:dyDescent="0.2">
      <c r="A78" s="1" t="s">
        <v>1191</v>
      </c>
    </row>
    <row r="79" spans="1:8" x14ac:dyDescent="0.2">
      <c r="A79" s="1" t="s">
        <v>1192</v>
      </c>
    </row>
    <row r="80" spans="1:8" x14ac:dyDescent="0.2">
      <c r="A80" s="1" t="s">
        <v>1193</v>
      </c>
    </row>
    <row r="82" spans="1:11" x14ac:dyDescent="0.2">
      <c r="A82" s="2" t="s">
        <v>1185</v>
      </c>
    </row>
    <row r="84" spans="1:11" x14ac:dyDescent="0.2">
      <c r="A84" s="1" t="s">
        <v>1194</v>
      </c>
    </row>
    <row r="86" spans="1:11" x14ac:dyDescent="0.2">
      <c r="G86" s="32" t="s">
        <v>177</v>
      </c>
    </row>
    <row r="87" spans="1:11" x14ac:dyDescent="0.2">
      <c r="F87" s="12" t="s">
        <v>179</v>
      </c>
      <c r="G87" s="1" t="s">
        <v>178</v>
      </c>
    </row>
    <row r="88" spans="1:11" x14ac:dyDescent="0.2">
      <c r="A88" s="1" t="s">
        <v>1195</v>
      </c>
      <c r="F88" s="12">
        <v>240</v>
      </c>
      <c r="G88" s="1" t="s">
        <v>45</v>
      </c>
    </row>
    <row r="89" spans="1:11" x14ac:dyDescent="0.2">
      <c r="A89" s="1" t="s">
        <v>1196</v>
      </c>
      <c r="F89" s="12">
        <v>1</v>
      </c>
      <c r="G89" s="1" t="s">
        <v>42</v>
      </c>
    </row>
    <row r="90" spans="1:11" ht="17" thickBot="1" x14ac:dyDescent="0.25">
      <c r="A90" s="1" t="s">
        <v>1197</v>
      </c>
      <c r="F90" s="12">
        <v>500000</v>
      </c>
      <c r="G90" s="1" t="s">
        <v>39</v>
      </c>
    </row>
    <row r="91" spans="1:11" ht="17" thickBot="1" x14ac:dyDescent="0.25">
      <c r="A91" s="1" t="s">
        <v>1198</v>
      </c>
      <c r="F91" s="153">
        <f>PMT(F89/100,F88,F90,F92)</f>
        <v>-5505.4306678480489</v>
      </c>
      <c r="G91" s="1" t="s">
        <v>47</v>
      </c>
      <c r="H91" s="1" t="s">
        <v>818</v>
      </c>
    </row>
    <row r="92" spans="1:11" x14ac:dyDescent="0.2">
      <c r="F92" s="12">
        <v>0</v>
      </c>
      <c r="G92" s="1" t="s">
        <v>50</v>
      </c>
    </row>
    <row r="94" spans="1:11" x14ac:dyDescent="0.2">
      <c r="A94" s="2" t="s">
        <v>1186</v>
      </c>
    </row>
    <row r="96" spans="1:11" x14ac:dyDescent="0.2">
      <c r="A96" s="1" t="s">
        <v>1208</v>
      </c>
      <c r="I96" s="152"/>
      <c r="J96" s="152"/>
      <c r="K96" s="152"/>
    </row>
    <row r="97" spans="1:11" x14ac:dyDescent="0.2">
      <c r="A97" s="2" t="s">
        <v>1199</v>
      </c>
      <c r="I97" s="152"/>
      <c r="J97" s="152"/>
      <c r="K97" s="152"/>
    </row>
    <row r="98" spans="1:11" x14ac:dyDescent="0.2">
      <c r="I98" s="152"/>
      <c r="J98" s="152"/>
      <c r="K98" s="152"/>
    </row>
    <row r="99" spans="1:11" x14ac:dyDescent="0.2">
      <c r="G99" s="32" t="s">
        <v>1200</v>
      </c>
      <c r="I99" s="152"/>
      <c r="J99" s="152"/>
      <c r="K99" s="152"/>
    </row>
    <row r="100" spans="1:11" x14ac:dyDescent="0.2">
      <c r="A100" s="1" t="s">
        <v>1203</v>
      </c>
      <c r="F100" s="12">
        <v>168</v>
      </c>
      <c r="G100" s="12" t="s">
        <v>1201</v>
      </c>
      <c r="I100" s="152"/>
      <c r="J100" s="152"/>
      <c r="K100" s="152"/>
    </row>
    <row r="101" spans="1:11" x14ac:dyDescent="0.2">
      <c r="A101" s="1" t="s">
        <v>1204</v>
      </c>
      <c r="D101" s="1">
        <f>14*12</f>
        <v>168</v>
      </c>
      <c r="E101" s="1" t="s">
        <v>1205</v>
      </c>
      <c r="F101" s="12">
        <v>168</v>
      </c>
      <c r="G101" s="12" t="s">
        <v>1202</v>
      </c>
      <c r="I101" s="152"/>
      <c r="J101" s="152"/>
      <c r="K101" s="152"/>
    </row>
    <row r="102" spans="1:11" ht="17" thickBot="1" x14ac:dyDescent="0.25">
      <c r="I102" s="152"/>
      <c r="J102" s="152"/>
      <c r="K102" s="152"/>
    </row>
    <row r="103" spans="1:11" ht="17" thickBot="1" x14ac:dyDescent="0.25">
      <c r="A103" s="1" t="s">
        <v>1207</v>
      </c>
      <c r="F103" s="60">
        <v>281604</v>
      </c>
      <c r="G103" s="12" t="s">
        <v>1206</v>
      </c>
      <c r="H103" s="1" t="s">
        <v>51</v>
      </c>
      <c r="I103" s="152"/>
      <c r="J103" s="152"/>
      <c r="K103" s="152"/>
    </row>
    <row r="104" spans="1:11" x14ac:dyDescent="0.2">
      <c r="I104" s="152"/>
      <c r="J104" s="152"/>
      <c r="K104" s="152"/>
    </row>
    <row r="105" spans="1:11" x14ac:dyDescent="0.2">
      <c r="A105" s="2" t="s">
        <v>1187</v>
      </c>
      <c r="I105" s="152"/>
      <c r="J105" s="152"/>
      <c r="K105" s="152"/>
    </row>
    <row r="106" spans="1:11" x14ac:dyDescent="0.2">
      <c r="G106" s="32" t="s">
        <v>1200</v>
      </c>
      <c r="I106" s="152"/>
      <c r="J106" s="152"/>
      <c r="K106" s="152"/>
    </row>
    <row r="107" spans="1:11" x14ac:dyDescent="0.2">
      <c r="A107" s="1" t="s">
        <v>1210</v>
      </c>
      <c r="F107" s="12">
        <v>127</v>
      </c>
      <c r="G107" s="12" t="s">
        <v>1201</v>
      </c>
      <c r="I107" s="152"/>
      <c r="J107" s="152"/>
      <c r="K107" s="152"/>
    </row>
    <row r="108" spans="1:11" x14ac:dyDescent="0.2">
      <c r="F108" s="12">
        <v>127</v>
      </c>
      <c r="G108" s="12" t="s">
        <v>1202</v>
      </c>
      <c r="I108" s="152"/>
      <c r="J108" s="152"/>
      <c r="K108" s="152"/>
    </row>
    <row r="109" spans="1:11" ht="17" thickBot="1" x14ac:dyDescent="0.25">
      <c r="I109" s="152"/>
      <c r="J109" s="152"/>
      <c r="K109" s="152"/>
    </row>
    <row r="110" spans="1:11" ht="17" thickBot="1" x14ac:dyDescent="0.25">
      <c r="A110" s="1" t="s">
        <v>1211</v>
      </c>
      <c r="F110" s="60">
        <v>-3734.69</v>
      </c>
      <c r="G110" s="12" t="s">
        <v>1209</v>
      </c>
      <c r="H110" s="1" t="s">
        <v>51</v>
      </c>
      <c r="I110" s="152"/>
      <c r="J110" s="152"/>
      <c r="K110" s="152"/>
    </row>
    <row r="111" spans="1:11" x14ac:dyDescent="0.2">
      <c r="I111" s="152"/>
      <c r="J111" s="152"/>
      <c r="K111" s="152"/>
    </row>
    <row r="112" spans="1:11" x14ac:dyDescent="0.2">
      <c r="A112" s="2" t="s">
        <v>1188</v>
      </c>
      <c r="I112" s="152"/>
      <c r="J112" s="152"/>
      <c r="K112" s="152"/>
    </row>
    <row r="114" spans="1:8" x14ac:dyDescent="0.2">
      <c r="G114" s="32" t="s">
        <v>1200</v>
      </c>
    </row>
    <row r="115" spans="1:8" x14ac:dyDescent="0.2">
      <c r="A115" s="1" t="s">
        <v>1212</v>
      </c>
      <c r="F115" s="12">
        <v>85</v>
      </c>
      <c r="G115" s="12" t="s">
        <v>1201</v>
      </c>
    </row>
    <row r="116" spans="1:8" x14ac:dyDescent="0.2">
      <c r="A116" s="1" t="s">
        <v>1213</v>
      </c>
      <c r="B116" s="1">
        <f>7*12</f>
        <v>84</v>
      </c>
      <c r="C116" s="1" t="s">
        <v>382</v>
      </c>
      <c r="F116" s="12">
        <v>96</v>
      </c>
      <c r="G116" s="12" t="s">
        <v>1202</v>
      </c>
    </row>
    <row r="117" spans="1:8" x14ac:dyDescent="0.2">
      <c r="A117" s="1" t="s">
        <v>1214</v>
      </c>
      <c r="B117" s="1">
        <f>8*12</f>
        <v>96</v>
      </c>
      <c r="C117" s="1" t="s">
        <v>382</v>
      </c>
      <c r="F117" s="12"/>
      <c r="G117" s="12"/>
    </row>
    <row r="118" spans="1:8" x14ac:dyDescent="0.2">
      <c r="A118" s="1" t="s">
        <v>1215</v>
      </c>
      <c r="F118" s="12"/>
      <c r="G118" s="12"/>
    </row>
    <row r="119" spans="1:8" x14ac:dyDescent="0.2">
      <c r="A119" s="1" t="s">
        <v>1216</v>
      </c>
    </row>
    <row r="120" spans="1:8" ht="17" thickBot="1" x14ac:dyDescent="0.25"/>
    <row r="121" spans="1:8" ht="17" thickBot="1" x14ac:dyDescent="0.25">
      <c r="A121" s="1" t="s">
        <v>1211</v>
      </c>
      <c r="F121" s="60">
        <v>-51278.78</v>
      </c>
      <c r="G121" s="12"/>
      <c r="H121" s="1" t="s">
        <v>51</v>
      </c>
    </row>
    <row r="123" spans="1:8" x14ac:dyDescent="0.2">
      <c r="A123" s="1" t="s">
        <v>1217</v>
      </c>
      <c r="C123" s="1" t="s">
        <v>1218</v>
      </c>
    </row>
    <row r="124" spans="1:8" ht="17" thickBot="1" x14ac:dyDescent="0.25"/>
    <row r="125" spans="1:8" ht="17" thickBot="1" x14ac:dyDescent="0.25">
      <c r="A125" s="106" t="s">
        <v>1219</v>
      </c>
      <c r="B125" s="6"/>
      <c r="C125" s="6"/>
      <c r="D125" s="6"/>
      <c r="E125" s="6"/>
      <c r="F125" s="6"/>
      <c r="G125" s="6"/>
      <c r="H125" s="7"/>
    </row>
    <row r="126" spans="1:8" x14ac:dyDescent="0.2">
      <c r="A126" s="1" t="s">
        <v>1220</v>
      </c>
    </row>
    <row r="127" spans="1:8" x14ac:dyDescent="0.2">
      <c r="A127" s="1" t="s">
        <v>1221</v>
      </c>
    </row>
    <row r="128" spans="1:8" x14ac:dyDescent="0.2">
      <c r="A128" s="1" t="s">
        <v>1222</v>
      </c>
    </row>
    <row r="129" spans="1:8" x14ac:dyDescent="0.2">
      <c r="A129" s="1" t="s">
        <v>1185</v>
      </c>
    </row>
    <row r="130" spans="1:8" x14ac:dyDescent="0.2">
      <c r="A130" s="1" t="s">
        <v>1223</v>
      </c>
    </row>
    <row r="131" spans="1:8" x14ac:dyDescent="0.2">
      <c r="A131" s="1" t="s">
        <v>1224</v>
      </c>
    </row>
    <row r="132" spans="1:8" x14ac:dyDescent="0.2">
      <c r="A132" s="1" t="s">
        <v>1225</v>
      </c>
    </row>
    <row r="134" spans="1:8" x14ac:dyDescent="0.2">
      <c r="D134" s="154" t="s">
        <v>291</v>
      </c>
      <c r="G134" s="154" t="s">
        <v>290</v>
      </c>
    </row>
    <row r="135" spans="1:8" x14ac:dyDescent="0.2">
      <c r="D135" s="12">
        <f>6*12</f>
        <v>72</v>
      </c>
      <c r="E135" s="1" t="s">
        <v>1201</v>
      </c>
      <c r="G135" s="73">
        <f>15*12</f>
        <v>180</v>
      </c>
      <c r="H135" s="1" t="s">
        <v>1226</v>
      </c>
    </row>
    <row r="136" spans="1:8" x14ac:dyDescent="0.2">
      <c r="D136" s="12">
        <f>D135</f>
        <v>72</v>
      </c>
      <c r="E136" s="1" t="s">
        <v>1202</v>
      </c>
      <c r="G136" s="155">
        <f>((1+10%)^(1/12)-1)*100</f>
        <v>0.79741404289037643</v>
      </c>
      <c r="H136" s="1" t="s">
        <v>42</v>
      </c>
    </row>
    <row r="137" spans="1:8" x14ac:dyDescent="0.2">
      <c r="D137" s="12"/>
      <c r="G137" s="73">
        <v>400000</v>
      </c>
      <c r="H137" s="1" t="s">
        <v>39</v>
      </c>
    </row>
    <row r="138" spans="1:8" x14ac:dyDescent="0.2">
      <c r="D138" s="83">
        <f>PV(G136/100,G135-D136,G138,G139)</f>
        <v>302864.24492400908</v>
      </c>
      <c r="E138" s="1" t="s">
        <v>1228</v>
      </c>
      <c r="G138" s="83">
        <f>PMT(G136/100,G135,G137,G139)</f>
        <v>-4193.5614384730661</v>
      </c>
      <c r="H138" s="1" t="s">
        <v>47</v>
      </c>
    </row>
    <row r="139" spans="1:8" x14ac:dyDescent="0.2">
      <c r="D139" s="12"/>
      <c r="G139" s="73">
        <v>0</v>
      </c>
      <c r="H139" s="1" t="s">
        <v>50</v>
      </c>
    </row>
    <row r="140" spans="1:8" x14ac:dyDescent="0.2">
      <c r="A140" s="154" t="s">
        <v>1229</v>
      </c>
      <c r="D140" s="154" t="s">
        <v>292</v>
      </c>
    </row>
    <row r="141" spans="1:8" x14ac:dyDescent="0.2">
      <c r="A141" s="12">
        <v>1</v>
      </c>
      <c r="B141" s="1" t="s">
        <v>1201</v>
      </c>
      <c r="D141" s="12">
        <v>78</v>
      </c>
      <c r="E141" s="1" t="s">
        <v>1201</v>
      </c>
    </row>
    <row r="142" spans="1:8" x14ac:dyDescent="0.2">
      <c r="A142" s="12">
        <v>12</v>
      </c>
      <c r="B142" s="1" t="s">
        <v>1202</v>
      </c>
      <c r="D142" s="12">
        <v>78</v>
      </c>
      <c r="E142" s="1" t="s">
        <v>1202</v>
      </c>
    </row>
    <row r="143" spans="1:8" x14ac:dyDescent="0.2">
      <c r="A143" s="12"/>
      <c r="D143" s="12"/>
    </row>
    <row r="144" spans="1:8" x14ac:dyDescent="0.2">
      <c r="A144" s="94">
        <v>37732.550000000003</v>
      </c>
      <c r="B144" s="1" t="s">
        <v>1230</v>
      </c>
      <c r="D144" s="83">
        <f>PV(G136/100,G135-D141+1,G138,G139)*G136/100</f>
        <v>2343.0328627345934</v>
      </c>
      <c r="E144" s="1" t="s">
        <v>1227</v>
      </c>
    </row>
    <row r="145" spans="1:8" ht="17" thickBot="1" x14ac:dyDescent="0.25"/>
    <row r="146" spans="1:8" ht="17" thickBot="1" x14ac:dyDescent="0.25">
      <c r="A146" s="106" t="s">
        <v>1231</v>
      </c>
      <c r="B146" s="6"/>
      <c r="C146" s="6"/>
      <c r="D146" s="6"/>
      <c r="E146" s="6"/>
      <c r="F146" s="6"/>
      <c r="G146" s="6"/>
      <c r="H146" s="7"/>
    </row>
    <row r="147" spans="1:8" x14ac:dyDescent="0.2">
      <c r="A147" s="1" t="s">
        <v>1232</v>
      </c>
    </row>
    <row r="148" spans="1:8" x14ac:dyDescent="0.2">
      <c r="A148" s="1" t="s">
        <v>1233</v>
      </c>
    </row>
    <row r="149" spans="1:8" x14ac:dyDescent="0.2">
      <c r="A149" s="1" t="s">
        <v>1234</v>
      </c>
    </row>
    <row r="150" spans="1:8" x14ac:dyDescent="0.2">
      <c r="A150" s="1" t="s">
        <v>1235</v>
      </c>
      <c r="B150" s="156">
        <v>0.3</v>
      </c>
      <c r="C150" s="1" t="s">
        <v>1236</v>
      </c>
      <c r="D150" s="1" t="s">
        <v>1237</v>
      </c>
    </row>
    <row r="151" spans="1:8" x14ac:dyDescent="0.2">
      <c r="A151" s="1" t="s">
        <v>1238</v>
      </c>
      <c r="B151" s="156">
        <v>0.7</v>
      </c>
      <c r="C151" s="1" t="s">
        <v>1236</v>
      </c>
      <c r="D151" s="1" t="s">
        <v>1239</v>
      </c>
    </row>
    <row r="153" spans="1:8" x14ac:dyDescent="0.2">
      <c r="A153" s="1" t="s">
        <v>1240</v>
      </c>
    </row>
    <row r="155" spans="1:8" x14ac:dyDescent="0.2">
      <c r="A155" s="1" t="s">
        <v>723</v>
      </c>
    </row>
    <row r="156" spans="1:8" x14ac:dyDescent="0.2">
      <c r="A156" s="1" t="s">
        <v>1248</v>
      </c>
    </row>
    <row r="157" spans="1:8" x14ac:dyDescent="0.2">
      <c r="A157" s="1" t="s">
        <v>1241</v>
      </c>
    </row>
    <row r="158" spans="1:8" x14ac:dyDescent="0.2">
      <c r="A158" s="1" t="s">
        <v>1243</v>
      </c>
    </row>
    <row r="159" spans="1:8" x14ac:dyDescent="0.2">
      <c r="B159" s="1" t="s">
        <v>1244</v>
      </c>
    </row>
    <row r="160" spans="1:8" x14ac:dyDescent="0.2">
      <c r="B160" s="1" t="s">
        <v>1245</v>
      </c>
    </row>
    <row r="161" spans="1:9" x14ac:dyDescent="0.2">
      <c r="A161" s="1" t="s">
        <v>1242</v>
      </c>
    </row>
    <row r="162" spans="1:9" x14ac:dyDescent="0.2">
      <c r="B162" s="1" t="s">
        <v>1244</v>
      </c>
    </row>
    <row r="163" spans="1:9" x14ac:dyDescent="0.2">
      <c r="B163" s="1" t="s">
        <v>1255</v>
      </c>
    </row>
    <row r="165" spans="1:9" x14ac:dyDescent="0.2">
      <c r="A165" s="157" t="s">
        <v>1249</v>
      </c>
      <c r="B165" s="157"/>
      <c r="C165" s="157"/>
      <c r="D165" s="157"/>
      <c r="E165" s="157"/>
      <c r="F165" s="157"/>
      <c r="G165" s="157"/>
      <c r="H165" s="157"/>
      <c r="I165" s="157"/>
    </row>
    <row r="166" spans="1:9" x14ac:dyDescent="0.2">
      <c r="A166" s="1" t="s">
        <v>1235</v>
      </c>
      <c r="D166" s="1" t="s">
        <v>1238</v>
      </c>
      <c r="G166" s="1" t="s">
        <v>1246</v>
      </c>
    </row>
    <row r="167" spans="1:9" x14ac:dyDescent="0.2">
      <c r="A167" s="73">
        <f>30*12</f>
        <v>360</v>
      </c>
      <c r="B167" s="1" t="s">
        <v>1226</v>
      </c>
      <c r="D167" s="73">
        <f>30*12</f>
        <v>360</v>
      </c>
      <c r="E167" s="1" t="s">
        <v>1226</v>
      </c>
    </row>
    <row r="168" spans="1:9" x14ac:dyDescent="0.2">
      <c r="A168" s="155">
        <f>((1+6.5%)^(1/12)-1)*100</f>
        <v>0.52616942768477504</v>
      </c>
      <c r="B168" s="1" t="s">
        <v>42</v>
      </c>
      <c r="D168" s="155">
        <f>((1+7%)^(1/12)-1)*100</f>
        <v>0.56541453874052738</v>
      </c>
      <c r="E168" s="1" t="s">
        <v>42</v>
      </c>
    </row>
    <row r="169" spans="1:9" x14ac:dyDescent="0.2">
      <c r="A169" s="73">
        <f>30%*600000</f>
        <v>180000</v>
      </c>
      <c r="B169" s="1" t="s">
        <v>39</v>
      </c>
      <c r="D169" s="73">
        <f>600000*70%</f>
        <v>420000</v>
      </c>
      <c r="E169" s="1" t="s">
        <v>39</v>
      </c>
    </row>
    <row r="170" spans="1:9" x14ac:dyDescent="0.2">
      <c r="A170" s="83">
        <f>PMT(A168/100,A167,A169,A171)</f>
        <v>-1115.7980942795512</v>
      </c>
      <c r="B170" s="1" t="s">
        <v>47</v>
      </c>
      <c r="D170" s="83">
        <f>PMT(D168/100,D167,D169,D171)</f>
        <v>-2733.8834501995775</v>
      </c>
      <c r="E170" s="1" t="s">
        <v>47</v>
      </c>
      <c r="G170" s="36">
        <f>A170+D170</f>
        <v>-3849.6815444791287</v>
      </c>
      <c r="I170" s="1" t="s">
        <v>1247</v>
      </c>
    </row>
    <row r="171" spans="1:9" x14ac:dyDescent="0.2">
      <c r="A171" s="73">
        <v>0</v>
      </c>
      <c r="B171" s="1" t="s">
        <v>50</v>
      </c>
      <c r="D171" s="73">
        <v>0</v>
      </c>
      <c r="E171" s="1" t="s">
        <v>50</v>
      </c>
    </row>
    <row r="172" spans="1:9" x14ac:dyDescent="0.2">
      <c r="A172" s="12"/>
    </row>
    <row r="173" spans="1:9" x14ac:dyDescent="0.2">
      <c r="A173" s="158" t="s">
        <v>1250</v>
      </c>
      <c r="B173" s="157"/>
      <c r="C173" s="157"/>
      <c r="D173" s="157"/>
      <c r="E173" s="157"/>
      <c r="F173" s="157"/>
      <c r="G173" s="157"/>
      <c r="H173" s="157"/>
      <c r="I173" s="157"/>
    </row>
    <row r="174" spans="1:9" x14ac:dyDescent="0.2">
      <c r="A174" s="12" t="s">
        <v>1235</v>
      </c>
      <c r="D174" s="1" t="s">
        <v>1238</v>
      </c>
      <c r="G174" s="1" t="s">
        <v>1246</v>
      </c>
    </row>
    <row r="175" spans="1:9" x14ac:dyDescent="0.2">
      <c r="A175" s="12">
        <v>60</v>
      </c>
      <c r="B175" s="1" t="s">
        <v>1251</v>
      </c>
      <c r="D175" s="12">
        <v>60</v>
      </c>
      <c r="E175" s="1" t="s">
        <v>1251</v>
      </c>
    </row>
    <row r="176" spans="1:9" x14ac:dyDescent="0.2">
      <c r="A176" s="12">
        <v>60</v>
      </c>
      <c r="B176" s="1" t="s">
        <v>1252</v>
      </c>
      <c r="D176" s="12">
        <v>60</v>
      </c>
      <c r="E176" s="1" t="s">
        <v>1252</v>
      </c>
    </row>
    <row r="177" spans="1:9" x14ac:dyDescent="0.2">
      <c r="A177" s="12"/>
    </row>
    <row r="178" spans="1:9" x14ac:dyDescent="0.2">
      <c r="A178" s="42">
        <f>PV(A168/100,A167-A175,A170,A171)</f>
        <v>168134.79607843474</v>
      </c>
      <c r="B178" s="1" t="s">
        <v>1228</v>
      </c>
      <c r="D178" s="42">
        <f>PV(D168/100,D167-D175,D170,D171)</f>
        <v>394430.54966828175</v>
      </c>
      <c r="E178" s="1" t="s">
        <v>1228</v>
      </c>
      <c r="G178" s="36">
        <f>A178+D178</f>
        <v>562565.34574671648</v>
      </c>
      <c r="I178" s="1" t="s">
        <v>1253</v>
      </c>
    </row>
    <row r="179" spans="1:9" x14ac:dyDescent="0.2">
      <c r="A179" s="12"/>
    </row>
    <row r="180" spans="1:9" x14ac:dyDescent="0.2">
      <c r="A180" s="158" t="s">
        <v>1254</v>
      </c>
      <c r="B180" s="157"/>
      <c r="C180" s="157"/>
      <c r="D180" s="157"/>
      <c r="E180" s="157"/>
      <c r="F180" s="157"/>
      <c r="G180" s="157"/>
      <c r="H180" s="157"/>
      <c r="I180" s="157"/>
    </row>
    <row r="181" spans="1:9" x14ac:dyDescent="0.2">
      <c r="A181" s="12" t="s">
        <v>1235</v>
      </c>
      <c r="D181" s="1" t="s">
        <v>1238</v>
      </c>
      <c r="G181" s="1" t="s">
        <v>1246</v>
      </c>
    </row>
    <row r="182" spans="1:9" x14ac:dyDescent="0.2">
      <c r="A182" s="12">
        <v>1</v>
      </c>
      <c r="B182" s="1" t="s">
        <v>1251</v>
      </c>
      <c r="D182" s="1">
        <v>1</v>
      </c>
      <c r="E182" s="1" t="s">
        <v>1251</v>
      </c>
    </row>
    <row r="183" spans="1:9" x14ac:dyDescent="0.2">
      <c r="A183" s="12">
        <v>60</v>
      </c>
      <c r="B183" s="1" t="s">
        <v>1252</v>
      </c>
      <c r="D183" s="1">
        <v>60</v>
      </c>
      <c r="E183" s="1" t="s">
        <v>1252</v>
      </c>
    </row>
    <row r="184" spans="1:9" ht="17" thickBot="1" x14ac:dyDescent="0.25"/>
    <row r="185" spans="1:9" x14ac:dyDescent="0.2">
      <c r="A185" s="159">
        <v>-54414</v>
      </c>
      <c r="B185" s="1" t="s">
        <v>1230</v>
      </c>
      <c r="D185" s="159">
        <v>-138462.06</v>
      </c>
      <c r="E185" s="1" t="s">
        <v>1230</v>
      </c>
      <c r="G185" s="36">
        <f>A185+D185</f>
        <v>-192876.06</v>
      </c>
      <c r="I185" s="1" t="s">
        <v>1253</v>
      </c>
    </row>
    <row r="186" spans="1:9" ht="17" thickBot="1" x14ac:dyDescent="0.25">
      <c r="A186" s="44" t="s">
        <v>1256</v>
      </c>
      <c r="D186" s="44" t="s">
        <v>1257</v>
      </c>
    </row>
  </sheetData>
  <mergeCells count="2">
    <mergeCell ref="A30:D30"/>
    <mergeCell ref="E30:H3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שיעור 1</vt:lpstr>
      <vt:lpstr>שיעור 2</vt:lpstr>
      <vt:lpstr>שיעור 3</vt:lpstr>
      <vt:lpstr>שיעור 4</vt:lpstr>
      <vt:lpstr>שיעור 5</vt:lpstr>
      <vt:lpstr>שיעור 6</vt:lpstr>
      <vt:lpstr>שיעור 7 ופתרון מטלה 1</vt:lpstr>
      <vt:lpstr>שיעור 8</vt:lpstr>
      <vt:lpstr>שיעור 9</vt:lpstr>
      <vt:lpstr>שיעור 10</vt:lpstr>
      <vt:lpstr>שיעור 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2024-11-03T11:56:39Z</dcterms:created>
  <dcterms:modified xsi:type="dcterms:W3CDTF">2025-07-28T15:14:49Z</dcterms:modified>
</cp:coreProperties>
</file>